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16" yWindow="48" windowWidth="17412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<sst xmlns="http://schemas.openxmlformats.org/spreadsheetml/2006/main" count="166" uniqueCount="113">
  <si>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</si>
  <si>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</si>
  <si>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</si>
  <si>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</si>
  <si>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</si>
  <si>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</si>
  <si>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</si>
  <si>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</si>
  <si>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</si>
  <si>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</si>
  <si>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</si>
  <si>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</si>
  <si>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</si>
  <si>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</si>
  <si>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</si>
  <si>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</si>
  <si>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</si>
  <si>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</si>
  <si>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</si>
  <si>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</si>
  <si>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</si>
  <si>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</si>
  <si>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</si>
  <si>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</si>
  <si>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</si>
  <si>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</si>
  <si>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</si>
  <si>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</si>
  <si>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</si>
  <si>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</si>
  <si>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</si>
  <si>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</si>
  <si>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</si>
  <si>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</si>
  <si>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</si>
  <si>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</si>
  <si>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</si>
  <si>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</si>
  <si>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</si>
  <si>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</si>
  <si>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</si>
  <si>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</si>
  <si>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</si>
  <si>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</si>
  <si>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</si>
  <si>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</si>
  <si>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</si>
  <si>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</si>
  <si>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</si>
  <si>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</si>
  <si>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</si>
  <si>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</si>
  <si>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</si>
  <si>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</si>
  <si>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</si>
  <si>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</si>
  <si>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</si>
  <si>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</si>
  <si>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</si>
  <si>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</si>
  <si>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</si>
  <si>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</si>
  <si>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</si>
  <si>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</si>
  <si>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</si>
  <si>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</si>
  <si>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</si>
  <si>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</si>
  <si>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</si>
  <si>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</si>
  <si>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</si>
  <si>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</si>
  <si>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</si>
  <si>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</si>
  <si>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</si>
  <si>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</si>
  <si>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</si>
  <si>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</si>
  <si>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</si>
  <si>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</si>
  <si>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</si>
  <si>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</si>
  <si>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</si>
  <si>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</si>
  <si>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</si>
  <si>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</si>
  <si>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</si>
  <si>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</si>
  <si>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</si>
  <si>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</si>
  <si>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</si>
  <si>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</si>
  <si>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</si>
  <si>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</si>
  <si>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</si>
  <si>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</si>
  <si>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</si>
  <si>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</si>
  <si>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</si>
  <si>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</si>
  <si>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</si>
  <si>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</si>
  <si>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</si>
  <si>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</si>
  <si>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</si>
  <si>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</si>
  <si>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</si>
  <si>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</si>
  <si>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</si>
  <si>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11 місяців, тис.грн.</t>
  </si>
  <si>
    <t>Відсоток виконання  плану 11 місяців</t>
  </si>
  <si>
    <t>Відхилення від  плану 11 місяців, тис.грн.</t>
  </si>
  <si>
    <t>Аналіз використання коштів загального фонду міського бюджету станом на 05.11.2018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</si>
</sst>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0775"/>
          <c:w val="0.8532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170995.7</c:v>
                </c:pt>
                <c:pt idx="1">
                  <c:v>161665.41000000003</c:v>
                </c:pt>
                <c:pt idx="2">
                  <c:v>1713.5000000000002</c:v>
                </c:pt>
                <c:pt idx="3">
                  <c:v>7616.789999999979</c:v>
                </c:pt>
              </c:numCache>
            </c:numRef>
          </c:val>
          <c:shape val="box"/>
        </c:ser>
        <c:shape val="box"/>
        <c:axId val="7888780"/>
        <c:axId val="3890157"/>
      </c:bar3DChart>
      <c:catAx>
        <c:axId val="7888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0157"/>
        <c:crosses val="autoZero"/>
        <c:auto val="1"/>
        <c:lblOffset val="100"/>
        <c:tickLblSkip val="1"/>
        <c:noMultiLvlLbl val="0"/>
      </c:catAx>
      <c:valAx>
        <c:axId val="3890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8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7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275"/>
          <c:w val="0.8435"/>
          <c:h val="0.70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645197.5000000002</c:v>
                </c:pt>
                <c:pt idx="1">
                  <c:v>222584.99999999994</c:v>
                </c:pt>
                <c:pt idx="2">
                  <c:v>534151.1000000001</c:v>
                </c:pt>
                <c:pt idx="3">
                  <c:v>42.7</c:v>
                </c:pt>
                <c:pt idx="4">
                  <c:v>27967.6</c:v>
                </c:pt>
                <c:pt idx="5">
                  <c:v>56707.9</c:v>
                </c:pt>
                <c:pt idx="6">
                  <c:v>9936.199999999997</c:v>
                </c:pt>
                <c:pt idx="7">
                  <c:v>16392.000000000153</c:v>
                </c:pt>
              </c:numCache>
            </c:numRef>
          </c:val>
          <c:shape val="box"/>
        </c:ser>
        <c:shape val="box"/>
        <c:axId val="35011414"/>
        <c:axId val="46667271"/>
      </c:bar3DChart>
      <c:catAx>
        <c:axId val="35011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67271"/>
        <c:crosses val="autoZero"/>
        <c:auto val="1"/>
        <c:lblOffset val="100"/>
        <c:tickLblSkip val="1"/>
        <c:noMultiLvlLbl val="0"/>
      </c:catAx>
      <c:valAx>
        <c:axId val="46667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11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475"/>
          <c:w val="0.9295"/>
          <c:h val="0.65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320962.5000000001</c:v>
                </c:pt>
                <c:pt idx="1">
                  <c:v>195532.9</c:v>
                </c:pt>
                <c:pt idx="2">
                  <c:v>320962.5000000001</c:v>
                </c:pt>
              </c:numCache>
            </c:numRef>
          </c:val>
          <c:shape val="box"/>
        </c:ser>
        <c:shape val="box"/>
        <c:axId val="17352256"/>
        <c:axId val="21952577"/>
      </c:bar3DChart>
      <c:catAx>
        <c:axId val="1735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52577"/>
        <c:crosses val="autoZero"/>
        <c:auto val="1"/>
        <c:lblOffset val="100"/>
        <c:tickLblSkip val="1"/>
        <c:noMultiLvlLbl val="0"/>
      </c:catAx>
      <c:valAx>
        <c:axId val="21952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2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8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19163.100000000006</c:v>
                </c:pt>
                <c:pt idx="1">
                  <c:v>10562.2</c:v>
                </c:pt>
                <c:pt idx="2">
                  <c:v>59.6</c:v>
                </c:pt>
                <c:pt idx="3">
                  <c:v>1036.3</c:v>
                </c:pt>
                <c:pt idx="4">
                  <c:v>767.8999999999999</c:v>
                </c:pt>
                <c:pt idx="5">
                  <c:v>39.300000000000004</c:v>
                </c:pt>
                <c:pt idx="6">
                  <c:v>6697.800000000005</c:v>
                </c:pt>
              </c:numCache>
            </c:numRef>
          </c:val>
          <c:shape val="box"/>
        </c:ser>
        <c:shape val="box"/>
        <c:axId val="63355466"/>
        <c:axId val="33328283"/>
      </c:bar3DChart>
      <c:catAx>
        <c:axId val="6335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328283"/>
        <c:crosses val="autoZero"/>
        <c:auto val="1"/>
        <c:lblOffset val="100"/>
        <c:tickLblSkip val="1"/>
        <c:noMultiLvlLbl val="0"/>
      </c:catAx>
      <c:valAx>
        <c:axId val="333282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554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225"/>
          <c:w val="0.8635"/>
          <c:h val="0.65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26196.6</c:v>
                </c:pt>
                <c:pt idx="1">
                  <c:v>15400.5</c:v>
                </c:pt>
                <c:pt idx="2">
                  <c:v>1</c:v>
                </c:pt>
                <c:pt idx="3">
                  <c:v>726.1</c:v>
                </c:pt>
                <c:pt idx="4">
                  <c:v>577.3000000000001</c:v>
                </c:pt>
                <c:pt idx="5">
                  <c:v>1096</c:v>
                </c:pt>
                <c:pt idx="6">
                  <c:v>8395.699999999999</c:v>
                </c:pt>
              </c:numCache>
            </c:numRef>
          </c:val>
          <c:shape val="box"/>
        </c:ser>
        <c:shape val="box"/>
        <c:axId val="31519092"/>
        <c:axId val="15236373"/>
      </c:bar3DChart>
      <c:catAx>
        <c:axId val="3151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36373"/>
        <c:crosses val="autoZero"/>
        <c:auto val="1"/>
        <c:lblOffset val="100"/>
        <c:tickLblSkip val="2"/>
        <c:noMultiLvlLbl val="0"/>
      </c:catAx>
      <c:valAx>
        <c:axId val="152363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0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4"/>
          <c:w val="0.8775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7399.200000000002</c:v>
                </c:pt>
                <c:pt idx="1">
                  <c:v>2472.9000000000005</c:v>
                </c:pt>
                <c:pt idx="2">
                  <c:v>391.1</c:v>
                </c:pt>
                <c:pt idx="3">
                  <c:v>245.2999999999999</c:v>
                </c:pt>
                <c:pt idx="4">
                  <c:v>3583.4</c:v>
                </c:pt>
                <c:pt idx="5">
                  <c:v>706.5000000000008</c:v>
                </c:pt>
              </c:numCache>
            </c:numRef>
          </c:val>
          <c:shape val="box"/>
        </c:ser>
        <c:shape val="box"/>
        <c:axId val="2909630"/>
        <c:axId val="26186671"/>
      </c:bar3DChart>
      <c:catAx>
        <c:axId val="2909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86671"/>
        <c:crosses val="autoZero"/>
        <c:auto val="1"/>
        <c:lblOffset val="100"/>
        <c:tickLblSkip val="1"/>
        <c:noMultiLvlLbl val="0"/>
      </c:catAx>
      <c:valAx>
        <c:axId val="26186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6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6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275"/>
          <c:w val="0.85275"/>
          <c:h val="0.71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35429.5</c:v>
                </c:pt>
              </c:numCache>
            </c:numRef>
          </c:val>
          <c:shape val="box"/>
        </c:ser>
        <c:shape val="box"/>
        <c:axId val="34353448"/>
        <c:axId val="40745577"/>
      </c:bar3DChart>
      <c:catAx>
        <c:axId val="3435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745577"/>
        <c:crosses val="autoZero"/>
        <c:auto val="1"/>
        <c:lblOffset val="100"/>
        <c:tickLblSkip val="1"/>
        <c:noMultiLvlLbl val="0"/>
      </c:catAx>
      <c:valAx>
        <c:axId val="40745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3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425"/>
          <c:w val="0.85125"/>
          <c:h val="0.5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645197.5000000002</c:v>
                </c:pt>
                <c:pt idx="1">
                  <c:v>320962.5000000001</c:v>
                </c:pt>
                <c:pt idx="2">
                  <c:v>19163.100000000006</c:v>
                </c:pt>
                <c:pt idx="3">
                  <c:v>26196.6</c:v>
                </c:pt>
                <c:pt idx="4">
                  <c:v>7399.200000000002</c:v>
                </c:pt>
                <c:pt idx="5">
                  <c:v>170995.7</c:v>
                </c:pt>
                <c:pt idx="6">
                  <c:v>35429.5</c:v>
                </c:pt>
              </c:numCache>
            </c:numRef>
          </c:val>
          <c:shape val="box"/>
        </c:ser>
        <c:shape val="box"/>
        <c:axId val="31165874"/>
        <c:axId val="12057411"/>
      </c:bar3DChart>
      <c:catAx>
        <c:axId val="3116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57411"/>
        <c:crosses val="autoZero"/>
        <c:auto val="1"/>
        <c:lblOffset val="100"/>
        <c:tickLblSkip val="1"/>
        <c:noMultiLvlLbl val="0"/>
      </c:catAx>
      <c:valAx>
        <c:axId val="12057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5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025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6"/>
          <c:w val="0.8415"/>
          <c:h val="0.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1126548.8156499995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736142.2100000002</c:v>
                </c:pt>
                <c:pt idx="1">
                  <c:v>71849.00000000001</c:v>
                </c:pt>
                <c:pt idx="2">
                  <c:v>29194.799999999996</c:v>
                </c:pt>
                <c:pt idx="3">
                  <c:v>23150.799999999996</c:v>
                </c:pt>
                <c:pt idx="4">
                  <c:v>44.400000000000006</c:v>
                </c:pt>
                <c:pt idx="5">
                  <c:v>811333.1900000001</c:v>
                </c:pt>
              </c:numCache>
            </c:numRef>
          </c:val>
          <c:shape val="box"/>
        </c:ser>
        <c:shape val="box"/>
        <c:axId val="41407836"/>
        <c:axId val="37126205"/>
      </c:bar3DChart>
      <c:catAx>
        <c:axId val="41407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26205"/>
        <c:crosses val="autoZero"/>
        <c:auto val="1"/>
        <c:lblOffset val="100"/>
        <c:tickLblSkip val="1"/>
        <c:noMultiLvlLbl val="0"/>
      </c:catAx>
      <c:valAx>
        <c:axId val="37126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07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6" sqref="B126"/>
    </sheetView>
  </sheetViews>
  <sheetFormatPr defaultColWidth="9.125" defaultRowHeight="12.75"/>
  <cols>
    <col min="1" max="1" width="66.875" style="137" customWidth="1"/>
    <col min="2" max="2" width="19.00390625" style="137" customWidth="1"/>
    <col min="3" max="3" width="18.50390625" style="138" customWidth="1"/>
    <col min="4" max="4" width="19.00390625" style="138" customWidth="1"/>
    <col min="5" max="5" width="17.375" style="138" customWidth="1"/>
    <col min="6" max="7" width="19.50390625" style="138" customWidth="1"/>
    <col min="8" max="8" width="19.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50390625" style="138" bestFit="1" customWidth="1"/>
    <col min="13" max="16384" width="9.125" style="138" customWidth="1"/>
  </cols>
  <sheetData>
    <row r="1" spans="1:9" ht="30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109</v>
      </c>
      <c r="C3" s="164" t="s">
        <v>106</v>
      </c>
      <c r="D3" s="164" t="s">
        <v>22</v>
      </c>
      <c r="E3" s="164" t="s">
        <v>21</v>
      </c>
      <c r="F3" s="164" t="s">
        <v>110</v>
      </c>
      <c r="G3" s="164" t="s">
        <v>107</v>
      </c>
      <c r="H3" s="164" t="s">
        <v>111</v>
      </c>
      <c r="I3" s="164" t="s">
        <v>108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" thickBot="1">
      <c r="A6" s="18" t="s">
        <v>26</v>
      </c>
      <c r="B6" s="35">
        <f>681593+809.8+52048.5+19179.6</f>
        <v>753630.9</v>
      </c>
      <c r="C6" s="36">
        <f>826775+13431.5+510-13431.5+16-2334+20.8+1070.1+1061.7</f>
        <v>827119.6</v>
      </c>
      <c r="D6" s="37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+319.8+1469.4+12.5+1110.4+12.9+855+32872.5+0.9+983.1+47.7+552.1</f>
        <v>645197.5000000002</v>
      </c>
      <c r="E6" s="3">
        <f>D6/D154*100</f>
        <v>38.59495976106924</v>
      </c>
      <c r="F6" s="3">
        <f>D6/B6*100</f>
        <v>85.6118691523928</v>
      </c>
      <c r="G6" s="3">
        <f aca="true" t="shared" si="0" ref="G6:G43">D6/C6*100</f>
        <v>78.00534529710096</v>
      </c>
      <c r="H6" s="37">
        <f>B6-D6</f>
        <v>108433.39999999979</v>
      </c>
      <c r="I6" s="37">
        <f aca="true" t="shared" si="1" ref="I6:I43">C6-D6</f>
        <v>181922.09999999974</v>
      </c>
      <c r="J6" s="153"/>
      <c r="K6" s="154"/>
    </row>
    <row r="7" spans="1:12" s="85" customFormat="1" ht="18">
      <c r="A7" s="128" t="s">
        <v>81</v>
      </c>
      <c r="B7" s="129">
        <f>223162+19179.6</f>
        <v>242341.6</v>
      </c>
      <c r="C7" s="130">
        <v>262517.6</v>
      </c>
      <c r="D7" s="131">
        <f>8282.7+10875.2+9132.6+9963.6+4.3+9215.1+9968.6+9459.9+11450.4+9572.3+23759.4-0.1+3644+36528.9+8511.9+179.9+764+816.4+0.1+3426.1+9016.3+0.5+9355.5+12599.9+4130.8+9728.1+12165.8+32.8</f>
        <v>222584.99999999994</v>
      </c>
      <c r="E7" s="132">
        <f>D7/D6*100</f>
        <v>34.49873875828717</v>
      </c>
      <c r="F7" s="132">
        <f>D7/B7*100</f>
        <v>91.84762335480163</v>
      </c>
      <c r="G7" s="132">
        <f>D7/C7*100</f>
        <v>84.78860084047697</v>
      </c>
      <c r="H7" s="131">
        <f>B7-D7</f>
        <v>19756.600000000064</v>
      </c>
      <c r="I7" s="131">
        <f t="shared" si="1"/>
        <v>39932.600000000035</v>
      </c>
      <c r="J7" s="148"/>
      <c r="K7" s="154"/>
      <c r="L7" s="127"/>
    </row>
    <row r="8" spans="1:12" s="152" customFormat="1" ht="17.25">
      <c r="A8" s="92" t="s">
        <v>3</v>
      </c>
      <c r="B8" s="114">
        <f>550357.6+27497.3</f>
        <v>577854.9</v>
      </c>
      <c r="C8" s="115">
        <f>649221.9+8415.5-2000+877</f>
        <v>656514.4</v>
      </c>
      <c r="D8" s="94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+31110.2+47.7</f>
        <v>534151.1000000001</v>
      </c>
      <c r="E8" s="96">
        <f>D8/D6*100</f>
        <v>82.78877398006034</v>
      </c>
      <c r="F8" s="96">
        <f>D8/B8*100</f>
        <v>92.43689029893146</v>
      </c>
      <c r="G8" s="96">
        <f t="shared" si="0"/>
        <v>81.36167310267682</v>
      </c>
      <c r="H8" s="94">
        <f>B8-D8</f>
        <v>43703.79999999993</v>
      </c>
      <c r="I8" s="94">
        <f t="shared" si="1"/>
        <v>122363.29999999993</v>
      </c>
      <c r="J8" s="153"/>
      <c r="K8" s="154"/>
      <c r="L8" s="127"/>
    </row>
    <row r="9" spans="1:12" s="152" customFormat="1" ht="17.25">
      <c r="A9" s="92" t="s">
        <v>2</v>
      </c>
      <c r="B9" s="114">
        <v>97.7</v>
      </c>
      <c r="C9" s="115">
        <v>97.7</v>
      </c>
      <c r="D9" s="94">
        <f>3.4+5.4+0.8+4.1+3.6+0.3+0.3+3.4+3.4+3.6+2.1+4+2.9+3+2.4</f>
        <v>42.7</v>
      </c>
      <c r="E9" s="116">
        <f>D9/D6*100</f>
        <v>0.006618128557534707</v>
      </c>
      <c r="F9" s="96">
        <f>D9/B9*100</f>
        <v>43.70522006141249</v>
      </c>
      <c r="G9" s="96">
        <f t="shared" si="0"/>
        <v>43.70522006141249</v>
      </c>
      <c r="H9" s="94">
        <f aca="true" t="shared" si="2" ref="H9:H43">B9-D9</f>
        <v>55</v>
      </c>
      <c r="I9" s="94">
        <f t="shared" si="1"/>
        <v>55</v>
      </c>
      <c r="J9" s="153"/>
      <c r="K9" s="154"/>
      <c r="L9" s="127"/>
    </row>
    <row r="10" spans="1:12" s="152" customFormat="1" ht="17.25">
      <c r="A10" s="92" t="s">
        <v>1</v>
      </c>
      <c r="B10" s="114">
        <f>32276.4+3940.5</f>
        <v>36216.9</v>
      </c>
      <c r="C10" s="115">
        <f>52816.3-8415.5-19.2-3934.8</f>
        <v>40446.8</v>
      </c>
      <c r="D10" s="133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+460.1+437.8+5.7+1098.9+957.8+302.2</f>
        <v>27967.6</v>
      </c>
      <c r="E10" s="96">
        <f>D10/D6*100</f>
        <v>4.33473471301423</v>
      </c>
      <c r="F10" s="96">
        <f aca="true" t="shared" si="3" ref="F10:F41">D10/B10*100</f>
        <v>77.22251214212149</v>
      </c>
      <c r="G10" s="96">
        <f t="shared" si="0"/>
        <v>69.14663211922822</v>
      </c>
      <c r="H10" s="94">
        <f t="shared" si="2"/>
        <v>8249.300000000003</v>
      </c>
      <c r="I10" s="94">
        <f t="shared" si="1"/>
        <v>12479.200000000004</v>
      </c>
      <c r="J10" s="153"/>
      <c r="K10" s="154"/>
      <c r="L10" s="127"/>
    </row>
    <row r="11" spans="1:12" s="152" customFormat="1" ht="17.25">
      <c r="A11" s="92" t="s">
        <v>0</v>
      </c>
      <c r="B11" s="114">
        <f>61296.9+809.8+12951</f>
        <v>75057.70000000001</v>
      </c>
      <c r="C11" s="115">
        <v>88172.4</v>
      </c>
      <c r="D11" s="134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+597.4+444.9+8+101.9+21.3+231</f>
        <v>56707.9</v>
      </c>
      <c r="E11" s="96">
        <f>D11/D6*100</f>
        <v>8.78923120439865</v>
      </c>
      <c r="F11" s="96">
        <f t="shared" si="3"/>
        <v>75.55240834717823</v>
      </c>
      <c r="G11" s="96">
        <f t="shared" si="0"/>
        <v>64.31479692057833</v>
      </c>
      <c r="H11" s="94">
        <f t="shared" si="2"/>
        <v>18349.80000000001</v>
      </c>
      <c r="I11" s="94">
        <f t="shared" si="1"/>
        <v>31464.499999999993</v>
      </c>
      <c r="J11" s="153"/>
      <c r="K11" s="154"/>
      <c r="L11" s="127"/>
    </row>
    <row r="12" spans="1:12" s="152" customFormat="1" ht="17.25">
      <c r="A12" s="92" t="s">
        <v>14</v>
      </c>
      <c r="B12" s="114">
        <f>10485.4+1118.6</f>
        <v>11604</v>
      </c>
      <c r="C12" s="115">
        <v>12738</v>
      </c>
      <c r="D12" s="94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+136.5+739.3</f>
        <v>9936.199999999997</v>
      </c>
      <c r="E12" s="96">
        <f>D12/D6*100</f>
        <v>1.5400245661212255</v>
      </c>
      <c r="F12" s="96">
        <f t="shared" si="3"/>
        <v>85.62736987245775</v>
      </c>
      <c r="G12" s="96">
        <f t="shared" si="0"/>
        <v>78.00439629455171</v>
      </c>
      <c r="H12" s="94">
        <f>B12-D12</f>
        <v>1667.800000000003</v>
      </c>
      <c r="I12" s="94">
        <f t="shared" si="1"/>
        <v>2801.800000000003</v>
      </c>
      <c r="J12" s="153"/>
      <c r="K12" s="154"/>
      <c r="L12" s="127"/>
    </row>
    <row r="13" spans="1:12" s="152" customFormat="1" ht="18" thickBot="1">
      <c r="A13" s="92" t="s">
        <v>27</v>
      </c>
      <c r="B13" s="115">
        <f>B6-B8-B9-B10-B11-B12</f>
        <v>52799.69999999998</v>
      </c>
      <c r="C13" s="115">
        <f>C6-C8-C9-C10-C11-C12</f>
        <v>29150.299999999945</v>
      </c>
      <c r="D13" s="115">
        <f>D6-D8-D9-D10-D11-D12</f>
        <v>16392.000000000153</v>
      </c>
      <c r="E13" s="96">
        <f>D13/D6*100</f>
        <v>2.5406174078480075</v>
      </c>
      <c r="F13" s="96">
        <f t="shared" si="3"/>
        <v>31.045630941085196</v>
      </c>
      <c r="G13" s="96">
        <f t="shared" si="0"/>
        <v>56.23269743364625</v>
      </c>
      <c r="H13" s="94">
        <f t="shared" si="2"/>
        <v>36407.69999999983</v>
      </c>
      <c r="I13" s="94">
        <f t="shared" si="1"/>
        <v>12758.299999999792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8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8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" thickBot="1">
      <c r="A18" s="18" t="s">
        <v>19</v>
      </c>
      <c r="B18" s="35">
        <f>333159.1-2662.4+17838.6+15694.8-1079.1</f>
        <v>362950.99999999994</v>
      </c>
      <c r="C18" s="36">
        <f>424151.5+750.3+185.6-18990.5</f>
        <v>406096.89999999997</v>
      </c>
      <c r="D18" s="37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+2.3+1540.5+297.2+569.2+74.9+38.4+2+6.5+14053+2584.5+1384.9+785.4+172.6+66.5+31.3</f>
        <v>320962.5000000001</v>
      </c>
      <c r="E18" s="3">
        <f>D18/D154*100</f>
        <v>19.199601319459834</v>
      </c>
      <c r="F18" s="3">
        <f>D18/B18*100</f>
        <v>88.43135850293847</v>
      </c>
      <c r="G18" s="3">
        <f t="shared" si="0"/>
        <v>79.03593945188948</v>
      </c>
      <c r="H18" s="37">
        <f>B18-D18</f>
        <v>41988.499999999825</v>
      </c>
      <c r="I18" s="37">
        <f t="shared" si="1"/>
        <v>85134.39999999985</v>
      </c>
      <c r="J18" s="153"/>
      <c r="K18" s="154"/>
    </row>
    <row r="19" spans="1:13" s="85" customFormat="1" ht="18">
      <c r="A19" s="128" t="s">
        <v>82</v>
      </c>
      <c r="B19" s="129">
        <f>196322.2+15694.8</f>
        <v>212017</v>
      </c>
      <c r="C19" s="130">
        <f>226186+750.3+185.6+589.9</f>
        <v>227711.8</v>
      </c>
      <c r="D19" s="131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+2.3+297.2+74.9+2+6.5+4734+196.3+34.6+31.3</f>
        <v>195532.9</v>
      </c>
      <c r="E19" s="132">
        <f>D19/D18*100</f>
        <v>60.92079292752266</v>
      </c>
      <c r="F19" s="132">
        <f t="shared" si="3"/>
        <v>92.22510459066962</v>
      </c>
      <c r="G19" s="132">
        <f t="shared" si="0"/>
        <v>85.86858476372326</v>
      </c>
      <c r="H19" s="131">
        <f t="shared" si="2"/>
        <v>16484.100000000006</v>
      </c>
      <c r="I19" s="131">
        <f t="shared" si="1"/>
        <v>32178.899999999994</v>
      </c>
      <c r="J19" s="148"/>
      <c r="K19" s="154"/>
      <c r="L19" s="152"/>
      <c r="M19" s="152"/>
    </row>
    <row r="20" spans="1:11" s="152" customFormat="1" ht="17.25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7.25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7.25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7.25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7.25" hidden="1">
      <c r="A24" s="92" t="s">
        <v>14</v>
      </c>
      <c r="B24" s="114"/>
      <c r="C24" s="115"/>
      <c r="D24" s="94"/>
      <c r="E24" s="96">
        <f>D24/D18*100</f>
        <v>0</v>
      </c>
      <c r="F24" s="96" t="e">
        <f t="shared" si="3"/>
        <v>#DIV/0!</v>
      </c>
      <c r="G24" s="96" t="e">
        <f t="shared" si="0"/>
        <v>#DIV/0!</v>
      </c>
      <c r="H24" s="94">
        <f t="shared" si="2"/>
        <v>0</v>
      </c>
      <c r="I24" s="94">
        <f t="shared" si="1"/>
        <v>0</v>
      </c>
      <c r="J24" s="153"/>
      <c r="K24" s="154">
        <f>C24-B24</f>
        <v>0</v>
      </c>
    </row>
    <row r="25" spans="1:11" s="152" customFormat="1" ht="18" thickBot="1">
      <c r="A25" s="92" t="s">
        <v>27</v>
      </c>
      <c r="B25" s="115">
        <f>B18</f>
        <v>362950.99999999994</v>
      </c>
      <c r="C25" s="115">
        <f>C18</f>
        <v>406096.89999999997</v>
      </c>
      <c r="D25" s="115">
        <f>D18</f>
        <v>320962.5000000001</v>
      </c>
      <c r="E25" s="96">
        <f>D25/D18*100</f>
        <v>100</v>
      </c>
      <c r="F25" s="96">
        <f t="shared" si="3"/>
        <v>88.43135850293847</v>
      </c>
      <c r="G25" s="96">
        <f t="shared" si="0"/>
        <v>79.03593945188948</v>
      </c>
      <c r="H25" s="94">
        <f t="shared" si="2"/>
        <v>41988.499999999825</v>
      </c>
      <c r="I25" s="94">
        <f t="shared" si="1"/>
        <v>85134.39999999985</v>
      </c>
      <c r="J25" s="153"/>
      <c r="K25" s="154"/>
    </row>
    <row r="26" spans="1:11" ht="54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8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8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" thickBot="1">
      <c r="A33" s="18" t="s">
        <v>17</v>
      </c>
      <c r="B33" s="35">
        <f>20177.6+27.7+2+2155.9</f>
        <v>22363.2</v>
      </c>
      <c r="C33" s="36">
        <f>24805.1-17.2+81.6</f>
        <v>24869.499999999996</v>
      </c>
      <c r="D33" s="39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+313.5+33.3+77.8+21.2+929.4+44</f>
        <v>19163.100000000006</v>
      </c>
      <c r="E33" s="3">
        <f>D33/D154*100</f>
        <v>1.1463142268799025</v>
      </c>
      <c r="F33" s="3">
        <f>D33/B33*100</f>
        <v>85.690330543035</v>
      </c>
      <c r="G33" s="3">
        <f t="shared" si="0"/>
        <v>77.05462514324779</v>
      </c>
      <c r="H33" s="37">
        <f t="shared" si="2"/>
        <v>3200.099999999995</v>
      </c>
      <c r="I33" s="37">
        <f t="shared" si="1"/>
        <v>5706.3999999999905</v>
      </c>
      <c r="J33" s="153"/>
      <c r="K33" s="154"/>
    </row>
    <row r="34" spans="1:11" s="152" customFormat="1" ht="17.25">
      <c r="A34" s="92" t="s">
        <v>3</v>
      </c>
      <c r="B34" s="114">
        <f>10871.7+993.6</f>
        <v>11865.300000000001</v>
      </c>
      <c r="C34" s="115">
        <f>12906.6+40</f>
        <v>12946.6</v>
      </c>
      <c r="D34" s="94">
        <f>364.6+548.1+389.3+522.2+63+395+556.7+63+391.3+512.8+63+394.6+664.3+89.8+0.3+456.7+632.3+12+89.8+485+19+3.6+623.1+89.8+9.9+419.4+475.8+71.8+336.5+18.5+2.5+155.1+372.7+96+254.3+89.8+21.2+809.4</f>
        <v>10562.2</v>
      </c>
      <c r="E34" s="96">
        <f>D34/D33*100</f>
        <v>55.11738706159232</v>
      </c>
      <c r="F34" s="96">
        <f t="shared" si="3"/>
        <v>89.01755539261545</v>
      </c>
      <c r="G34" s="96">
        <f t="shared" si="0"/>
        <v>81.58280938624813</v>
      </c>
      <c r="H34" s="94">
        <f t="shared" si="2"/>
        <v>1303.1000000000004</v>
      </c>
      <c r="I34" s="94">
        <f t="shared" si="1"/>
        <v>2384.3999999999996</v>
      </c>
      <c r="J34" s="153"/>
      <c r="K34" s="154"/>
    </row>
    <row r="35" spans="1:11" s="152" customFormat="1" ht="17.25">
      <c r="A35" s="92" t="s">
        <v>1</v>
      </c>
      <c r="B35" s="114">
        <v>59.6</v>
      </c>
      <c r="C35" s="115">
        <v>81.1</v>
      </c>
      <c r="D35" s="94">
        <f>6.8+8.7+11.6+32.5</f>
        <v>59.6</v>
      </c>
      <c r="E35" s="96">
        <f>D35/D33*100</f>
        <v>0.31101439746178844</v>
      </c>
      <c r="F35" s="96">
        <f t="shared" si="3"/>
        <v>100</v>
      </c>
      <c r="G35" s="96">
        <f t="shared" si="0"/>
        <v>73.48951911220716</v>
      </c>
      <c r="H35" s="94">
        <f t="shared" si="2"/>
        <v>0</v>
      </c>
      <c r="I35" s="94">
        <f t="shared" si="1"/>
        <v>21.499999999999993</v>
      </c>
      <c r="J35" s="153"/>
      <c r="K35" s="154"/>
    </row>
    <row r="36" spans="1:11" s="152" customFormat="1" ht="17.25">
      <c r="A36" s="92" t="s">
        <v>0</v>
      </c>
      <c r="B36" s="114">
        <f>1155.9+27.7+291.6</f>
        <v>1475.2000000000003</v>
      </c>
      <c r="C36" s="115">
        <v>1783</v>
      </c>
      <c r="D36" s="94">
        <f>0.3+11.3+141.7+12.6+0.9+12.9+1.3+0.5+169.4+1.1+0.1+0.4+11.3+166.1+3.8+5.1+2.9+0.2+0.5+11.9+319.9+44.3+12.2+0.9-0.2+8.4+29.5+8.6+0.2+7.6+0.4+4.3+0.1+0.3+7.8+4.8+0.2+5.5+2.5+0.2+2.6+6.1+6.3+1.5+8</f>
        <v>1036.3</v>
      </c>
      <c r="E36" s="96">
        <f>D36/D33*100</f>
        <v>5.407788927678714</v>
      </c>
      <c r="F36" s="96">
        <f t="shared" si="3"/>
        <v>70.24810195227764</v>
      </c>
      <c r="G36" s="96">
        <f t="shared" si="0"/>
        <v>58.12114413909142</v>
      </c>
      <c r="H36" s="94">
        <f t="shared" si="2"/>
        <v>438.9000000000003</v>
      </c>
      <c r="I36" s="94">
        <f t="shared" si="1"/>
        <v>746.7</v>
      </c>
      <c r="J36" s="153"/>
      <c r="K36" s="154"/>
    </row>
    <row r="37" spans="1:12" s="85" customFormat="1" ht="17.25">
      <c r="A37" s="105" t="s">
        <v>7</v>
      </c>
      <c r="B37" s="125">
        <f>766.6+2+20.5</f>
        <v>789.1</v>
      </c>
      <c r="C37" s="126">
        <v>1008</v>
      </c>
      <c r="D37" s="98">
        <f>44.8+25.1+1.6+0.5+2.7+1+6.3+8.5+2.5+36.6+1.5+4.5+23.6+4.1+106.1+32.6+9.7+2.5+4.3+1.9+2.2+5.9+0.2+124.8+6.7+179.9+41.5+2.4+6.3+14.7+42.8+20.1</f>
        <v>767.8999999999999</v>
      </c>
      <c r="E37" s="101">
        <f>D37/D33*100</f>
        <v>4.007180466625961</v>
      </c>
      <c r="F37" s="101">
        <f t="shared" si="3"/>
        <v>97.31339500696996</v>
      </c>
      <c r="G37" s="101">
        <f t="shared" si="0"/>
        <v>76.18055555555554</v>
      </c>
      <c r="H37" s="98">
        <f t="shared" si="2"/>
        <v>21.20000000000016</v>
      </c>
      <c r="I37" s="98">
        <f t="shared" si="1"/>
        <v>240.10000000000014</v>
      </c>
      <c r="J37" s="148"/>
      <c r="K37" s="154"/>
      <c r="L37" s="127"/>
    </row>
    <row r="38" spans="1:11" s="152" customFormat="1" ht="17.25">
      <c r="A38" s="92" t="s">
        <v>14</v>
      </c>
      <c r="B38" s="114">
        <f>39.3+45.1</f>
        <v>84.4</v>
      </c>
      <c r="C38" s="115">
        <f>80.8+8.7</f>
        <v>89.5</v>
      </c>
      <c r="D38" s="115">
        <f>5.1+5.1+5.1+5.1+5.1+8.7+5.1</f>
        <v>39.300000000000004</v>
      </c>
      <c r="E38" s="96">
        <f>D38/D33*100</f>
        <v>0.20508164127933368</v>
      </c>
      <c r="F38" s="96">
        <f t="shared" si="3"/>
        <v>46.56398104265403</v>
      </c>
      <c r="G38" s="96">
        <f t="shared" si="0"/>
        <v>43.91061452513967</v>
      </c>
      <c r="H38" s="94">
        <f t="shared" si="2"/>
        <v>45.1</v>
      </c>
      <c r="I38" s="94">
        <f t="shared" si="1"/>
        <v>50.199999999999996</v>
      </c>
      <c r="J38" s="153"/>
      <c r="K38" s="154"/>
    </row>
    <row r="39" spans="1:11" s="152" customFormat="1" ht="18" thickBot="1">
      <c r="A39" s="92" t="s">
        <v>27</v>
      </c>
      <c r="B39" s="114">
        <f>B33-B34-B36-B37-B35-B38</f>
        <v>8089.5999999999985</v>
      </c>
      <c r="C39" s="114">
        <f>C33-C34-C36-C37-C35-C38</f>
        <v>8961.299999999996</v>
      </c>
      <c r="D39" s="114">
        <f>D33-D34-D36-D37-D35-D38</f>
        <v>6697.800000000005</v>
      </c>
      <c r="E39" s="96">
        <f>D39/D33*100</f>
        <v>34.95154750536188</v>
      </c>
      <c r="F39" s="96">
        <f t="shared" si="3"/>
        <v>82.795193829114</v>
      </c>
      <c r="G39" s="96">
        <f t="shared" si="0"/>
        <v>74.74138796826362</v>
      </c>
      <c r="H39" s="94">
        <f>B39-D39</f>
        <v>1391.7999999999938</v>
      </c>
      <c r="I39" s="94">
        <f t="shared" si="1"/>
        <v>2263.499999999991</v>
      </c>
      <c r="J39" s="153"/>
      <c r="K39" s="154"/>
    </row>
    <row r="40" spans="1:11" ht="18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8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8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8" thickBot="1">
      <c r="A43" s="11" t="s">
        <v>16</v>
      </c>
      <c r="B43" s="72">
        <f>1293.5-2+236</f>
        <v>1527.5</v>
      </c>
      <c r="C43" s="36">
        <f>1126.9+467</f>
        <v>1593.9</v>
      </c>
      <c r="D43" s="37">
        <f>63.9+1.1+0.6+70.8+0.5+48+6.7+2+13.7+10.4+20.2+0.7+37.4+27+181.7+0.2+2.1+7.5+10+0.2+3.3+24.2+12.6+1.5+22+2.4+8+14.4+3.9+1.2+1.7+0.1+3</f>
        <v>603</v>
      </c>
      <c r="E43" s="3">
        <f>D43/D154*100</f>
        <v>0.03607075466957752</v>
      </c>
      <c r="F43" s="3">
        <f>D43/B43*100</f>
        <v>39.47626841243863</v>
      </c>
      <c r="G43" s="3">
        <f t="shared" si="0"/>
        <v>37.83173348390739</v>
      </c>
      <c r="H43" s="37">
        <f t="shared" si="2"/>
        <v>924.5</v>
      </c>
      <c r="I43" s="37">
        <f t="shared" si="1"/>
        <v>990.9000000000001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" thickBot="1">
      <c r="A45" s="18" t="s">
        <v>44</v>
      </c>
      <c r="B45" s="35">
        <f>11184.4+1142.3</f>
        <v>12326.699999999999</v>
      </c>
      <c r="C45" s="36">
        <v>13576.3</v>
      </c>
      <c r="D45" s="37">
        <f>237.1+562.8+52.3+349.2+679.9+375.9+891+78.3+327.4+13.5+670.2+386.5+179.9+781.7-0.1+25.5+366.5+16.5+692.2+3.8+389.3+707.6+15.1+379.9+4.5+611.9+360.8+661.9+337.6+11.6+789.6</f>
        <v>10959.9</v>
      </c>
      <c r="E45" s="3">
        <f>D45/D154*100</f>
        <v>0.6556083981809332</v>
      </c>
      <c r="F45" s="3">
        <f>D45/B45*100</f>
        <v>88.91187422424494</v>
      </c>
      <c r="G45" s="3">
        <f aca="true" t="shared" si="5" ref="G45:G76">D45/C45*100</f>
        <v>80.72818072670758</v>
      </c>
      <c r="H45" s="37">
        <f>B45-D45</f>
        <v>1366.7999999999993</v>
      </c>
      <c r="I45" s="37">
        <f aca="true" t="shared" si="6" ref="I45:I77">C45-D45</f>
        <v>2616.3999999999996</v>
      </c>
      <c r="J45" s="153"/>
      <c r="K45" s="154"/>
    </row>
    <row r="46" spans="1:11" s="152" customFormat="1" ht="17.25">
      <c r="A46" s="92" t="s">
        <v>3</v>
      </c>
      <c r="B46" s="114">
        <f>10237.8+1011.7</f>
        <v>11249.5</v>
      </c>
      <c r="C46" s="115">
        <v>12256.4</v>
      </c>
      <c r="D46" s="94">
        <f>237.1+551.8+334.1+652.5+314.7+746.1+319.2+661.7+342.8+781.7+0.2-0.1+366.5+692.2+367.7+697.1+14.1+359.1+599.6+318.9+654.8+315+778.2</f>
        <v>10105</v>
      </c>
      <c r="E46" s="96">
        <f>D46/D45*100</f>
        <v>92.19974634805062</v>
      </c>
      <c r="F46" s="96">
        <f aca="true" t="shared" si="7" ref="F46:F74">D46/B46*100</f>
        <v>89.82621449842215</v>
      </c>
      <c r="G46" s="96">
        <f t="shared" si="5"/>
        <v>82.44672171273784</v>
      </c>
      <c r="H46" s="94">
        <f aca="true" t="shared" si="8" ref="H46:H74">B46-D46</f>
        <v>1144.5</v>
      </c>
      <c r="I46" s="94">
        <f t="shared" si="6"/>
        <v>2151.3999999999996</v>
      </c>
      <c r="J46" s="153"/>
      <c r="K46" s="154"/>
    </row>
    <row r="47" spans="1:11" s="152" customFormat="1" ht="17.25">
      <c r="A47" s="92" t="s">
        <v>2</v>
      </c>
      <c r="B47" s="114">
        <f>0.8+0.7</f>
        <v>1.5</v>
      </c>
      <c r="C47" s="115">
        <v>1.5</v>
      </c>
      <c r="D47" s="94">
        <f>0.7</f>
        <v>0.7</v>
      </c>
      <c r="E47" s="96">
        <f>D47/D45*100</f>
        <v>0.006386919588682378</v>
      </c>
      <c r="F47" s="96">
        <f t="shared" si="7"/>
        <v>46.666666666666664</v>
      </c>
      <c r="G47" s="96">
        <f t="shared" si="5"/>
        <v>46.666666666666664</v>
      </c>
      <c r="H47" s="94">
        <f t="shared" si="8"/>
        <v>0.8</v>
      </c>
      <c r="I47" s="94">
        <f t="shared" si="6"/>
        <v>0.8</v>
      </c>
      <c r="J47" s="153"/>
      <c r="K47" s="154"/>
    </row>
    <row r="48" spans="1:11" s="152" customFormat="1" ht="17.25">
      <c r="A48" s="92" t="s">
        <v>1</v>
      </c>
      <c r="B48" s="114">
        <f>68.2+10.6</f>
        <v>78.8</v>
      </c>
      <c r="C48" s="115">
        <v>98.9</v>
      </c>
      <c r="D48" s="94">
        <f>5.7+6.1+6.5+7.7+8.4+7+0.1+8.9</f>
        <v>50.4</v>
      </c>
      <c r="E48" s="96">
        <f>D48/D45*100</f>
        <v>0.45985821038513125</v>
      </c>
      <c r="F48" s="96">
        <f t="shared" si="7"/>
        <v>63.95939086294417</v>
      </c>
      <c r="G48" s="96">
        <f t="shared" si="5"/>
        <v>50.96056622851365</v>
      </c>
      <c r="H48" s="94">
        <f t="shared" si="8"/>
        <v>28.4</v>
      </c>
      <c r="I48" s="94">
        <f t="shared" si="6"/>
        <v>48.50000000000001</v>
      </c>
      <c r="J48" s="153"/>
      <c r="K48" s="154"/>
    </row>
    <row r="49" spans="1:11" s="152" customFormat="1" ht="17.25">
      <c r="A49" s="92" t="s">
        <v>0</v>
      </c>
      <c r="B49" s="114">
        <f>595+89.7</f>
        <v>684.7</v>
      </c>
      <c r="C49" s="115">
        <v>879.8</v>
      </c>
      <c r="D49" s="94">
        <f>7.3+51.9+12.7-0.1+54.5+131.2+49.5+2.4+7.9+11.2+178.3+0.4+4.1+0.1+0.6+1.4+0.5+0.8+4.5+4.5+1+5+1.4+9.1</f>
        <v>540.1999999999999</v>
      </c>
      <c r="E49" s="96">
        <f>D49/D45*100</f>
        <v>4.928877088294601</v>
      </c>
      <c r="F49" s="96">
        <f t="shared" si="7"/>
        <v>78.89586680297938</v>
      </c>
      <c r="G49" s="96">
        <f t="shared" si="5"/>
        <v>61.400318254148665</v>
      </c>
      <c r="H49" s="94">
        <f t="shared" si="8"/>
        <v>144.5000000000001</v>
      </c>
      <c r="I49" s="94">
        <f t="shared" si="6"/>
        <v>339.6</v>
      </c>
      <c r="J49" s="153"/>
      <c r="K49" s="154"/>
    </row>
    <row r="50" spans="1:11" s="152" customFormat="1" ht="18" thickBot="1">
      <c r="A50" s="92" t="s">
        <v>27</v>
      </c>
      <c r="B50" s="115">
        <f>B45-B46-B49-B48-B47</f>
        <v>312.19999999999885</v>
      </c>
      <c r="C50" s="115">
        <f>C45-C46-C49-C48-C47</f>
        <v>339.6999999999997</v>
      </c>
      <c r="D50" s="115">
        <f>D45-D46-D49-D48-D47</f>
        <v>263.59999999999974</v>
      </c>
      <c r="E50" s="96">
        <f>D50/D45*100</f>
        <v>2.4051314336809617</v>
      </c>
      <c r="F50" s="96">
        <f t="shared" si="7"/>
        <v>84.43305573350439</v>
      </c>
      <c r="G50" s="96">
        <f t="shared" si="5"/>
        <v>77.59788048277892</v>
      </c>
      <c r="H50" s="94">
        <f t="shared" si="8"/>
        <v>48.59999999999911</v>
      </c>
      <c r="I50" s="94">
        <f t="shared" si="6"/>
        <v>76.09999999999997</v>
      </c>
      <c r="J50" s="153"/>
      <c r="K50" s="154"/>
    </row>
    <row r="51" spans="1:11" ht="18" thickBot="1">
      <c r="A51" s="18" t="s">
        <v>4</v>
      </c>
      <c r="B51" s="35">
        <f>30742.3+124.3+3465</f>
        <v>34331.6</v>
      </c>
      <c r="C51" s="36">
        <f>37135.4+450-426+576.2</f>
        <v>37735.6</v>
      </c>
      <c r="D51" s="37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+157.6+329.1+33.3+64.6+227.9+946.1+6</f>
        <v>26196.6</v>
      </c>
      <c r="E51" s="3">
        <f>D51/D154*100</f>
        <v>1.5670499697795264</v>
      </c>
      <c r="F51" s="3">
        <f>D51/B51*100</f>
        <v>76.30462897155972</v>
      </c>
      <c r="G51" s="3">
        <f t="shared" si="5"/>
        <v>69.42144818155799</v>
      </c>
      <c r="H51" s="37">
        <f>B51-D51</f>
        <v>8135</v>
      </c>
      <c r="I51" s="37">
        <f t="shared" si="6"/>
        <v>11539</v>
      </c>
      <c r="J51" s="153"/>
      <c r="K51" s="154"/>
    </row>
    <row r="52" spans="1:11" s="152" customFormat="1" ht="17.25">
      <c r="A52" s="92" t="s">
        <v>3</v>
      </c>
      <c r="B52" s="114">
        <f>16585.9+1913.6</f>
        <v>18499.5</v>
      </c>
      <c r="C52" s="115">
        <f>20097.4+82.2</f>
        <v>20179.600000000002</v>
      </c>
      <c r="D52" s="94">
        <f>632.9+34.3+767.3+737.6+710.6+649.6+792.4+1.6+643.1+825.6+650.1+947+1196.1+785.4+658.1+439+623.6+358.8+550.5+716.3+1140.3+694.7+845.6</f>
        <v>15400.5</v>
      </c>
      <c r="E52" s="96">
        <f>D52/D51*100</f>
        <v>58.7881633494423</v>
      </c>
      <c r="F52" s="96">
        <f t="shared" si="7"/>
        <v>83.2481958971864</v>
      </c>
      <c r="G52" s="96">
        <f t="shared" si="5"/>
        <v>76.3171717972606</v>
      </c>
      <c r="H52" s="94">
        <f t="shared" si="8"/>
        <v>3099</v>
      </c>
      <c r="I52" s="94">
        <f t="shared" si="6"/>
        <v>4779.100000000002</v>
      </c>
      <c r="J52" s="153"/>
      <c r="K52" s="154"/>
    </row>
    <row r="53" spans="1:11" s="152" customFormat="1" ht="17.25">
      <c r="A53" s="92" t="s">
        <v>2</v>
      </c>
      <c r="B53" s="114">
        <v>15.3</v>
      </c>
      <c r="C53" s="115">
        <f>13.9+1.38435</f>
        <v>15.28435</v>
      </c>
      <c r="D53" s="94">
        <v>1</v>
      </c>
      <c r="E53" s="96">
        <f>D53/D51*100</f>
        <v>0.00381728926654604</v>
      </c>
      <c r="F53" s="96">
        <f>D53/B53*100</f>
        <v>6.535947712418301</v>
      </c>
      <c r="G53" s="96">
        <f t="shared" si="5"/>
        <v>6.542640020674742</v>
      </c>
      <c r="H53" s="94">
        <f t="shared" si="8"/>
        <v>14.3</v>
      </c>
      <c r="I53" s="94">
        <f t="shared" si="6"/>
        <v>14.28435</v>
      </c>
      <c r="J53" s="153"/>
      <c r="K53" s="154"/>
    </row>
    <row r="54" spans="1:11" s="152" customFormat="1" ht="17.25">
      <c r="A54" s="92" t="s">
        <v>1</v>
      </c>
      <c r="B54" s="114">
        <f>869.1+155.1</f>
        <v>1024.2</v>
      </c>
      <c r="C54" s="115">
        <f>993.6+100</f>
        <v>1093.6</v>
      </c>
      <c r="D54" s="94">
        <f>0.2+4.2+9+4.7+9.6+6.3+43.2+2.7+18.4+3.8+23.8+5.3+12.2+43.2+26.7+3.8+22.4+0.4+59.7+30.3+3.3+19.2+7+2.9+21+4.4-0.4+4.8+2.2+3.6+32.5+6.4+7.8+23.5+0.7+4.2+10.2+2.2+1.8+2+15.6+1.8+2.2+4.1+5.9+16.2+64.8+35.5+24.1+15+22.2+8.7+11.7+6.3+2.8</f>
        <v>726.1</v>
      </c>
      <c r="E54" s="96">
        <f>D54/D51*100</f>
        <v>2.77173373643908</v>
      </c>
      <c r="F54" s="96">
        <f t="shared" si="7"/>
        <v>70.89435657098223</v>
      </c>
      <c r="G54" s="96">
        <f t="shared" si="5"/>
        <v>66.39539136795905</v>
      </c>
      <c r="H54" s="94">
        <f t="shared" si="8"/>
        <v>298.1</v>
      </c>
      <c r="I54" s="94">
        <f t="shared" si="6"/>
        <v>367.4999999999999</v>
      </c>
      <c r="J54" s="153"/>
      <c r="K54" s="154"/>
    </row>
    <row r="55" spans="1:11" s="152" customFormat="1" ht="17.25">
      <c r="A55" s="92" t="s">
        <v>0</v>
      </c>
      <c r="B55" s="114">
        <f>824+106.3+186</f>
        <v>1116.3</v>
      </c>
      <c r="C55" s="115">
        <v>1219.9</v>
      </c>
      <c r="D55" s="94">
        <f>0.5+1+2.8+12.3+8.3+0.5+0.4+8.7+15+0.3+1.3+64.9+33.6+8.1+0.1+94.7+0.3+9.8+7.8+0.9+1.8+16.2+18.3+3.3+0.1+11.4+0.1+11.4+1.3+76.9+6.2+11.6+2.1+2.4+24+0.1+0.5+16.3+2.5+1.1+3.8+2.1+10.3+5.8+0.4+0.3+0.3+9.3+0.2+0.6+1.1-0.2+0.5+0.1+1+9.6+1.7+0.2+0.8+20+0.5+1.3+11.9+2.6+1+1.6+10.3+1.3</f>
        <v>577.3000000000001</v>
      </c>
      <c r="E55" s="96">
        <f>D55/D51*100</f>
        <v>2.2037210935770295</v>
      </c>
      <c r="F55" s="96">
        <f t="shared" si="7"/>
        <v>51.715488667920816</v>
      </c>
      <c r="G55" s="96">
        <f t="shared" si="5"/>
        <v>47.323551110746784</v>
      </c>
      <c r="H55" s="94">
        <f t="shared" si="8"/>
        <v>538.9999999999999</v>
      </c>
      <c r="I55" s="94">
        <f t="shared" si="6"/>
        <v>642.6</v>
      </c>
      <c r="J55" s="153"/>
      <c r="K55" s="154"/>
    </row>
    <row r="56" spans="1:11" s="152" customFormat="1" ht="17.25">
      <c r="A56" s="92" t="s">
        <v>14</v>
      </c>
      <c r="B56" s="114">
        <f>1100+110</f>
        <v>1210</v>
      </c>
      <c r="C56" s="115">
        <v>1320</v>
      </c>
      <c r="D56" s="115">
        <f>110+110+110+110+110+110+110+110+110+106</f>
        <v>1096</v>
      </c>
      <c r="E56" s="96">
        <f>D56/D51*100</f>
        <v>4.1837490361344605</v>
      </c>
      <c r="F56" s="96">
        <f>D56/B56*100</f>
        <v>90.57851239669421</v>
      </c>
      <c r="G56" s="96">
        <f>D56/C56*100</f>
        <v>83.03030303030303</v>
      </c>
      <c r="H56" s="94">
        <f t="shared" si="8"/>
        <v>114</v>
      </c>
      <c r="I56" s="94">
        <f t="shared" si="6"/>
        <v>224</v>
      </c>
      <c r="J56" s="153"/>
      <c r="K56" s="154"/>
    </row>
    <row r="57" spans="1:11" s="152" customFormat="1" ht="18" thickBot="1">
      <c r="A57" s="92" t="s">
        <v>27</v>
      </c>
      <c r="B57" s="115">
        <f>B51-B52-B55-B54-B53-B56</f>
        <v>12466.3</v>
      </c>
      <c r="C57" s="115">
        <f>C51-C52-C55-C54-C53-C56</f>
        <v>13907.215649999996</v>
      </c>
      <c r="D57" s="115">
        <f>D51-D52-D55-D54-D53-D56</f>
        <v>8395.699999999999</v>
      </c>
      <c r="E57" s="96">
        <f>D57/D51*100</f>
        <v>32.04881549514059</v>
      </c>
      <c r="F57" s="96">
        <f t="shared" si="7"/>
        <v>67.34716796483319</v>
      </c>
      <c r="G57" s="96">
        <f t="shared" si="5"/>
        <v>60.36938098389235</v>
      </c>
      <c r="H57" s="94">
        <f>B57-D57</f>
        <v>4070.6000000000004</v>
      </c>
      <c r="I57" s="94">
        <f>C57-D57</f>
        <v>5511.515649999998</v>
      </c>
      <c r="J57" s="153"/>
      <c r="K57" s="154"/>
    </row>
    <row r="58" spans="1:11" s="29" customFormat="1" ht="18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" thickBot="1">
      <c r="A59" s="18" t="s">
        <v>6</v>
      </c>
      <c r="B59" s="35">
        <f>8862+38.1+215.4+128.8</f>
        <v>9244.3</v>
      </c>
      <c r="C59" s="36">
        <f>9264.2+300+32.4</f>
        <v>9596.6</v>
      </c>
      <c r="D59" s="37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+0.4+16.3+173.3+0.3</f>
        <v>7399.200000000002</v>
      </c>
      <c r="E59" s="3">
        <f>D59/D154*100</f>
        <v>0.44261148913953247</v>
      </c>
      <c r="F59" s="3">
        <f>D59/B59*100</f>
        <v>80.04067371244986</v>
      </c>
      <c r="G59" s="3">
        <f t="shared" si="5"/>
        <v>77.10230706708627</v>
      </c>
      <c r="H59" s="37">
        <f>B59-D59</f>
        <v>1845.0999999999976</v>
      </c>
      <c r="I59" s="37">
        <f t="shared" si="6"/>
        <v>2197.3999999999987</v>
      </c>
      <c r="J59" s="153"/>
      <c r="K59" s="154"/>
    </row>
    <row r="60" spans="1:11" s="152" customFormat="1" ht="17.25">
      <c r="A60" s="92" t="s">
        <v>3</v>
      </c>
      <c r="B60" s="114">
        <f>2608.2+133+120.9</f>
        <v>2862.1</v>
      </c>
      <c r="C60" s="115">
        <v>3119.7</v>
      </c>
      <c r="D60" s="94">
        <f>77.7+79.1+76.9+40.5+47.3+155.9+45+29.2+85.8+95.3+38.3+30.7+89.8+79.1+80.7+178.9+50.9+35.4+119.2+73+83.9+167.9+42.3+43+65+68.5+34.6+47.8+164.9+73.8+172.5</f>
        <v>2472.9000000000005</v>
      </c>
      <c r="E60" s="96">
        <f>D60/D59*100</f>
        <v>33.42118066818035</v>
      </c>
      <c r="F60" s="96">
        <f t="shared" si="7"/>
        <v>86.40159323573602</v>
      </c>
      <c r="G60" s="96">
        <f t="shared" si="5"/>
        <v>79.26723723434948</v>
      </c>
      <c r="H60" s="94">
        <f t="shared" si="8"/>
        <v>389.19999999999936</v>
      </c>
      <c r="I60" s="94">
        <f t="shared" si="6"/>
        <v>646.7999999999993</v>
      </c>
      <c r="J60" s="153"/>
      <c r="K60" s="154"/>
    </row>
    <row r="61" spans="1:11" s="152" customFormat="1" ht="17.25">
      <c r="A61" s="92" t="s">
        <v>1</v>
      </c>
      <c r="B61" s="114">
        <v>393.1</v>
      </c>
      <c r="C61" s="115">
        <f>360.7+32.4</f>
        <v>393.09999999999997</v>
      </c>
      <c r="D61" s="94">
        <f>127+93.7+101.3+69.1</f>
        <v>391.1</v>
      </c>
      <c r="E61" s="96">
        <f>D61/D59*100</f>
        <v>5.285706562871661</v>
      </c>
      <c r="F61" s="96">
        <f>D61/B61*100</f>
        <v>99.49122360722463</v>
      </c>
      <c r="G61" s="96">
        <f t="shared" si="5"/>
        <v>99.49122360722464</v>
      </c>
      <c r="H61" s="94">
        <f t="shared" si="8"/>
        <v>2</v>
      </c>
      <c r="I61" s="94">
        <f t="shared" si="6"/>
        <v>1.9999999999999432</v>
      </c>
      <c r="J61" s="153"/>
      <c r="K61" s="154"/>
    </row>
    <row r="62" spans="1:11" s="152" customFormat="1" ht="17.25">
      <c r="A62" s="92" t="s">
        <v>0</v>
      </c>
      <c r="B62" s="114">
        <f>253.5+38.1+58.4+5.8</f>
        <v>355.8</v>
      </c>
      <c r="C62" s="115">
        <v>393.7</v>
      </c>
      <c r="D62" s="94">
        <f>10.9+43.2+13-3+39.2+5.7+50.2+3.5+0.2+29.7+2.5+1.8+22+0.1+0.7+2.1+0.1+0.1+2.2+0.1+0.1+2.1+1.2+0.5+0.1+0.6+16.3+0.1</f>
        <v>245.2999999999999</v>
      </c>
      <c r="E62" s="96">
        <f>D62/D59*100</f>
        <v>3.3152232673802553</v>
      </c>
      <c r="F62" s="96">
        <f t="shared" si="7"/>
        <v>68.94322653175938</v>
      </c>
      <c r="G62" s="96">
        <f t="shared" si="5"/>
        <v>62.3063246126492</v>
      </c>
      <c r="H62" s="94">
        <f t="shared" si="8"/>
        <v>110.50000000000011</v>
      </c>
      <c r="I62" s="94">
        <f t="shared" si="6"/>
        <v>148.4000000000001</v>
      </c>
      <c r="J62" s="153"/>
      <c r="K62" s="154"/>
    </row>
    <row r="63" spans="1:11" s="152" customFormat="1" ht="17.25">
      <c r="A63" s="92" t="s">
        <v>14</v>
      </c>
      <c r="B63" s="114">
        <v>4866.6</v>
      </c>
      <c r="C63" s="115">
        <v>4866.6</v>
      </c>
      <c r="D63" s="94">
        <f>136+283.5+578.4+584+1151+850.5</f>
        <v>3583.4</v>
      </c>
      <c r="E63" s="96">
        <f>D63/D59*100</f>
        <v>48.42955995242728</v>
      </c>
      <c r="F63" s="96">
        <f t="shared" si="7"/>
        <v>73.63251551391114</v>
      </c>
      <c r="G63" s="96">
        <f t="shared" si="5"/>
        <v>73.63251551391114</v>
      </c>
      <c r="H63" s="94">
        <f t="shared" si="8"/>
        <v>1283.2000000000003</v>
      </c>
      <c r="I63" s="94">
        <f t="shared" si="6"/>
        <v>1283.2000000000003</v>
      </c>
      <c r="J63" s="153"/>
      <c r="K63" s="154"/>
    </row>
    <row r="64" spans="1:11" s="152" customFormat="1" ht="18" thickBot="1">
      <c r="A64" s="92" t="s">
        <v>27</v>
      </c>
      <c r="B64" s="115">
        <f>B59-B60-B62-B63-B61</f>
        <v>766.6999999999983</v>
      </c>
      <c r="C64" s="115">
        <f>C59-C60-C62-C63-C61</f>
        <v>823.5000000000005</v>
      </c>
      <c r="D64" s="115">
        <f>D59-D60-D62-D63-D61</f>
        <v>706.5000000000008</v>
      </c>
      <c r="E64" s="96">
        <f>D64/D59*100</f>
        <v>9.548329549140457</v>
      </c>
      <c r="F64" s="96">
        <f t="shared" si="7"/>
        <v>92.14816747097983</v>
      </c>
      <c r="G64" s="96">
        <f t="shared" si="5"/>
        <v>85.79234972677601</v>
      </c>
      <c r="H64" s="94">
        <f t="shared" si="8"/>
        <v>60.199999999997544</v>
      </c>
      <c r="I64" s="94">
        <f t="shared" si="6"/>
        <v>116.99999999999966</v>
      </c>
      <c r="J64" s="153"/>
      <c r="K64" s="154"/>
    </row>
    <row r="65" spans="1:11" s="29" customFormat="1" ht="18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8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8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8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" thickBot="1">
      <c r="A69" s="18" t="s">
        <v>20</v>
      </c>
      <c r="B69" s="36">
        <f>B70+B71</f>
        <v>417.363</v>
      </c>
      <c r="C69" s="36">
        <f>C70+C71</f>
        <v>418</v>
      </c>
      <c r="D69" s="37">
        <f>D70+D71</f>
        <v>227</v>
      </c>
      <c r="E69" s="27">
        <f>D69/D154*100</f>
        <v>0.013578874477602153</v>
      </c>
      <c r="F69" s="3">
        <f>D69/B69*100</f>
        <v>54.38910492784459</v>
      </c>
      <c r="G69" s="3">
        <f t="shared" si="5"/>
        <v>54.30622009569378</v>
      </c>
      <c r="H69" s="37">
        <f>B69-D69</f>
        <v>190.363</v>
      </c>
      <c r="I69" s="37">
        <f t="shared" si="6"/>
        <v>191</v>
      </c>
      <c r="J69" s="153"/>
      <c r="K69" s="154"/>
    </row>
    <row r="70" spans="1:11" s="152" customFormat="1" ht="17.25">
      <c r="A70" s="92" t="s">
        <v>8</v>
      </c>
      <c r="B70" s="114">
        <v>226.963</v>
      </c>
      <c r="C70" s="115">
        <f>292.7-53.1-12</f>
        <v>227.6</v>
      </c>
      <c r="D70" s="94">
        <f>169.5+50+6+1.5</f>
        <v>227</v>
      </c>
      <c r="E70" s="96">
        <f>D70/D69*100</f>
        <v>100</v>
      </c>
      <c r="F70" s="96">
        <f t="shared" si="7"/>
        <v>100.01630221666088</v>
      </c>
      <c r="G70" s="96">
        <f t="shared" si="5"/>
        <v>99.73637961335677</v>
      </c>
      <c r="H70" s="94">
        <f t="shared" si="8"/>
        <v>-0.03700000000000614</v>
      </c>
      <c r="I70" s="94">
        <f t="shared" si="6"/>
        <v>0.5999999999999943</v>
      </c>
      <c r="J70" s="153"/>
      <c r="K70" s="154"/>
    </row>
    <row r="71" spans="1:11" s="152" customFormat="1" ht="18" thickBot="1">
      <c r="A71" s="92" t="s">
        <v>9</v>
      </c>
      <c r="B71" s="114">
        <f>167.3+23.1</f>
        <v>190.4</v>
      </c>
      <c r="C71" s="115">
        <f>293.1-30-14-37.9+0.1-20.9</f>
        <v>190.4</v>
      </c>
      <c r="D71" s="94">
        <v>0</v>
      </c>
      <c r="E71" s="96">
        <f>D71/D70*100</f>
        <v>0</v>
      </c>
      <c r="F71" s="96">
        <f t="shared" si="7"/>
        <v>0</v>
      </c>
      <c r="G71" s="96">
        <f t="shared" si="5"/>
        <v>0</v>
      </c>
      <c r="H71" s="94">
        <f t="shared" si="8"/>
        <v>190.4</v>
      </c>
      <c r="I71" s="94">
        <f t="shared" si="6"/>
        <v>190.4</v>
      </c>
      <c r="J71" s="153"/>
      <c r="K71" s="154"/>
    </row>
    <row r="72" spans="1:11" ht="35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7.2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7.2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7.2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8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8" thickBot="1">
      <c r="A77" s="21" t="s">
        <v>13</v>
      </c>
      <c r="B77" s="43">
        <f>1126.7+616.7</f>
        <v>1743.4</v>
      </c>
      <c r="C77" s="50">
        <f>17000-13500-1000</f>
        <v>2500</v>
      </c>
      <c r="D77" s="51"/>
      <c r="E77" s="31"/>
      <c r="F77" s="31"/>
      <c r="G77" s="31"/>
      <c r="H77" s="51">
        <f>B77-D77</f>
        <v>1743.4</v>
      </c>
      <c r="I77" s="51">
        <f t="shared" si="6"/>
        <v>2500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7.25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8" thickBot="1">
      <c r="A90" s="11" t="s">
        <v>10</v>
      </c>
      <c r="B90" s="42">
        <f>175244.2+100-321+14144.1</f>
        <v>189167.30000000002</v>
      </c>
      <c r="C90" s="36">
        <f>200580.6+2044.4+100+113.7+1216.5</f>
        <v>204055.2</v>
      </c>
      <c r="D90" s="37">
        <f>163043.6+2929.1+4743+0.1+24.6+255.3</f>
        <v>170995.7</v>
      </c>
      <c r="E90" s="3">
        <f>D90/D154*100</f>
        <v>10.228762759954689</v>
      </c>
      <c r="F90" s="3">
        <f aca="true" t="shared" si="11" ref="F90:F96">D90/B90*100</f>
        <v>90.39390000280176</v>
      </c>
      <c r="G90" s="3">
        <f t="shared" si="9"/>
        <v>83.79874661366141</v>
      </c>
      <c r="H90" s="37">
        <f aca="true" t="shared" si="12" ref="H90:H96">B90-D90</f>
        <v>18171.600000000006</v>
      </c>
      <c r="I90" s="37">
        <f t="shared" si="10"/>
        <v>33059.5</v>
      </c>
      <c r="J90" s="153"/>
      <c r="K90" s="154"/>
    </row>
    <row r="91" spans="1:11" s="152" customFormat="1" ht="21.75" customHeight="1">
      <c r="A91" s="92" t="s">
        <v>3</v>
      </c>
      <c r="B91" s="114">
        <f>163944.6+273.6+100-321+12937.6</f>
        <v>176934.80000000002</v>
      </c>
      <c r="C91" s="115">
        <f>190000-46.7</f>
        <v>189953.3</v>
      </c>
      <c r="D91" s="9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+12.5+1865.8+2835.7+4721.6+238.9</f>
        <v>161665.41000000003</v>
      </c>
      <c r="E91" s="96">
        <f>D91/D90*100</f>
        <v>94.5435528495746</v>
      </c>
      <c r="F91" s="96">
        <f t="shared" si="11"/>
        <v>91.37004704557839</v>
      </c>
      <c r="G91" s="96">
        <f t="shared" si="9"/>
        <v>85.10797653949683</v>
      </c>
      <c r="H91" s="94">
        <f t="shared" si="12"/>
        <v>15269.389999999985</v>
      </c>
      <c r="I91" s="94">
        <f t="shared" si="10"/>
        <v>28287.889999999956</v>
      </c>
      <c r="K91" s="154"/>
    </row>
    <row r="92" spans="1:11" s="152" customFormat="1" ht="17.25">
      <c r="A92" s="92" t="s">
        <v>25</v>
      </c>
      <c r="B92" s="114">
        <f>2081.4-200+447.4</f>
        <v>2328.8</v>
      </c>
      <c r="C92" s="115">
        <v>2776.4</v>
      </c>
      <c r="D92" s="94">
        <f>57.2+3.4+167+1.4+0.3+83.4+86.9+53.1+5.3+4.7+17+71.3+284.2+22.2+4.8+1.6+54.8+7+38.2+1.9+190+51.9+21+0.9+36.9+5.5+20.1+0.9+46.6+43.3-17.3+22+2.1+65.9+0.7+4.5+1+37+52.4+38.3+64.1+5+1.1+50.5+3.4</f>
        <v>1713.5000000000002</v>
      </c>
      <c r="E92" s="96">
        <f>D92/D90*100</f>
        <v>1.002071981927031</v>
      </c>
      <c r="F92" s="96">
        <f t="shared" si="11"/>
        <v>73.57866712469942</v>
      </c>
      <c r="G92" s="96">
        <f t="shared" si="9"/>
        <v>61.71661143927388</v>
      </c>
      <c r="H92" s="94">
        <f t="shared" si="12"/>
        <v>615.3</v>
      </c>
      <c r="I92" s="94">
        <f t="shared" si="10"/>
        <v>1062.8999999999999</v>
      </c>
      <c r="K92" s="154"/>
    </row>
    <row r="93" spans="1:11" s="152" customFormat="1" ht="17.25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" thickBot="1">
      <c r="A94" s="92" t="s">
        <v>27</v>
      </c>
      <c r="B94" s="115">
        <f>B90-B91-B92-B93</f>
        <v>9903.7</v>
      </c>
      <c r="C94" s="115">
        <f>C90-C91-C92-C93</f>
        <v>11325.500000000024</v>
      </c>
      <c r="D94" s="115">
        <f>D90-D91-D92-D93</f>
        <v>7616.789999999979</v>
      </c>
      <c r="E94" s="96">
        <f>D94/D90*100</f>
        <v>4.454375168498377</v>
      </c>
      <c r="F94" s="96">
        <f t="shared" si="11"/>
        <v>76.90852913557538</v>
      </c>
      <c r="G94" s="96">
        <f>D94/C94*100</f>
        <v>67.25345459361584</v>
      </c>
      <c r="H94" s="94">
        <f t="shared" si="12"/>
        <v>2286.9100000000217</v>
      </c>
      <c r="I94" s="94">
        <f>C94-D94</f>
        <v>3708.7100000000446</v>
      </c>
      <c r="K94" s="154"/>
    </row>
    <row r="95" spans="1:11" ht="17.25">
      <c r="A95" s="76" t="s">
        <v>12</v>
      </c>
      <c r="B95" s="84">
        <f>38068.1-332.8-568.7-2113+5742.5+90-16</f>
        <v>40870.1</v>
      </c>
      <c r="C95" s="79">
        <f>46414.5+100+39.4+1153.5-64.6-244.3+39946.8</f>
        <v>87345.3</v>
      </c>
      <c r="D95" s="78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+18.6+983.4+30.1+589.1+706.3+316.8+106.5+1273.5</f>
        <v>35429.5</v>
      </c>
      <c r="E95" s="75">
        <f>D95/D154*100</f>
        <v>2.1193512480361476</v>
      </c>
      <c r="F95" s="77">
        <f t="shared" si="11"/>
        <v>86.68806780507022</v>
      </c>
      <c r="G95" s="74">
        <f>D95/C95*100</f>
        <v>40.56257176974605</v>
      </c>
      <c r="H95" s="78">
        <f t="shared" si="12"/>
        <v>5440.5999999999985</v>
      </c>
      <c r="I95" s="80">
        <f>C95-D95</f>
        <v>51915.8</v>
      </c>
      <c r="J95" s="153"/>
      <c r="K95" s="154"/>
    </row>
    <row r="96" spans="1:11" s="152" customFormat="1" ht="18" thickBot="1">
      <c r="A96" s="117" t="s">
        <v>83</v>
      </c>
      <c r="B96" s="118">
        <f>10039.2-1230+1305.5</f>
        <v>10114.7</v>
      </c>
      <c r="C96" s="119">
        <v>12814.2</v>
      </c>
      <c r="D96" s="120">
        <f>194.6+1234+3.4+0.5+79.6+1026.4+0.7+86.4+939.3+4.2+87.7+624.7+8+489.4+90.3+1.9+597.9+5.5+67.2+2.1+31.9+0.2+90.5+32.4+530.2+66+90.3+454.6+5.4+212.8+729.6+32.4+38.7+3.5+1+0.1+88.2+719.7+5.7+3.5+34.6+90.6+1035.4</f>
        <v>9841.099999999999</v>
      </c>
      <c r="E96" s="121">
        <f>D96/D95*100</f>
        <v>27.776570372147503</v>
      </c>
      <c r="F96" s="122">
        <f t="shared" si="11"/>
        <v>97.2950260511928</v>
      </c>
      <c r="G96" s="123">
        <f>D96/C96*100</f>
        <v>76.79839552995894</v>
      </c>
      <c r="H96" s="124">
        <f t="shared" si="12"/>
        <v>273.6000000000022</v>
      </c>
      <c r="I96" s="113">
        <f>C96-D96</f>
        <v>2973.100000000002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8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8" thickBot="1">
      <c r="A102" s="11" t="s">
        <v>11</v>
      </c>
      <c r="B102" s="83">
        <f>11280.9-100+784.6</f>
        <v>11965.5</v>
      </c>
      <c r="C102" s="66">
        <f>11266.5-91.2+1707.2+14.9+0.2+1010.6</f>
        <v>13908.2</v>
      </c>
      <c r="D102" s="62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+65.8+1.8+80.5+27.9+21.7+22.7+20</f>
        <v>9735.000000000002</v>
      </c>
      <c r="E102" s="16">
        <f>D102/D154*100</f>
        <v>0.5823363129491497</v>
      </c>
      <c r="F102" s="16">
        <f>D102/B102*100</f>
        <v>81.3589068572145</v>
      </c>
      <c r="G102" s="16">
        <f aca="true" t="shared" si="14" ref="G102:G152">D102/C102*100</f>
        <v>69.99467939776535</v>
      </c>
      <c r="H102" s="62">
        <f aca="true" t="shared" si="15" ref="H102:H108">B102-D102</f>
        <v>2230.499999999998</v>
      </c>
      <c r="I102" s="62">
        <f aca="true" t="shared" si="16" ref="I102:I152">C102-D102</f>
        <v>4173.199999999999</v>
      </c>
      <c r="J102" s="148"/>
      <c r="K102" s="154"/>
    </row>
    <row r="103" spans="1:11" s="152" customFormat="1" ht="18.75" customHeight="1">
      <c r="A103" s="92" t="s">
        <v>3</v>
      </c>
      <c r="B103" s="106">
        <f>291.1+36.4</f>
        <v>327.5</v>
      </c>
      <c r="C103" s="107">
        <v>363.8</v>
      </c>
      <c r="D103" s="107">
        <f>31.2+4.8+33.9+5.2+30.9+10.3+19.9+19.5+19.7+20.2+35.3+10.4</f>
        <v>241.29999999999998</v>
      </c>
      <c r="E103" s="108">
        <f>D103/D102*100</f>
        <v>2.4786851566512578</v>
      </c>
      <c r="F103" s="96">
        <f>D103/B103*100</f>
        <v>73.6793893129771</v>
      </c>
      <c r="G103" s="108">
        <f>D103/C103*100</f>
        <v>66.32765255634963</v>
      </c>
      <c r="H103" s="107">
        <f t="shared" si="15"/>
        <v>86.20000000000002</v>
      </c>
      <c r="I103" s="107">
        <f t="shared" si="16"/>
        <v>122.50000000000003</v>
      </c>
      <c r="J103" s="153"/>
      <c r="K103" s="154"/>
    </row>
    <row r="104" spans="1:11" s="152" customFormat="1" ht="17.25">
      <c r="A104" s="109" t="s">
        <v>48</v>
      </c>
      <c r="B104" s="93">
        <f>9329.9-100+615.6</f>
        <v>9845.5</v>
      </c>
      <c r="C104" s="94">
        <f>8949.2-91.2+1682.1+14.9+68.9</f>
        <v>10623.9</v>
      </c>
      <c r="D104" s="94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+65.8+1.8+0.3+27.9</f>
        <v>8292.699999999999</v>
      </c>
      <c r="E104" s="96">
        <f>D104/D102*100</f>
        <v>85.18438623523366</v>
      </c>
      <c r="F104" s="96">
        <f aca="true" t="shared" si="17" ref="F104:F152">D104/B104*100</f>
        <v>84.22832766238382</v>
      </c>
      <c r="G104" s="96">
        <f t="shared" si="14"/>
        <v>78.05702237408107</v>
      </c>
      <c r="H104" s="94">
        <f t="shared" si="15"/>
        <v>1552.800000000001</v>
      </c>
      <c r="I104" s="94">
        <f t="shared" si="16"/>
        <v>2331.2000000000007</v>
      </c>
      <c r="J104" s="153"/>
      <c r="K104" s="154"/>
    </row>
    <row r="105" spans="1:11" s="152" customFormat="1" ht="52.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" thickBot="1">
      <c r="A106" s="110" t="s">
        <v>27</v>
      </c>
      <c r="B106" s="111">
        <f>B102-B103-B104</f>
        <v>1792.5</v>
      </c>
      <c r="C106" s="111">
        <f>C102-C103-C104</f>
        <v>2920.500000000002</v>
      </c>
      <c r="D106" s="111">
        <f>D102-D103-D104</f>
        <v>1201.0000000000036</v>
      </c>
      <c r="E106" s="112">
        <f>D106/D102*100</f>
        <v>12.336928608115084</v>
      </c>
      <c r="F106" s="112">
        <f t="shared" si="17"/>
        <v>67.00139470013967</v>
      </c>
      <c r="G106" s="112">
        <f t="shared" si="14"/>
        <v>41.123095360383594</v>
      </c>
      <c r="H106" s="113">
        <f t="shared" si="15"/>
        <v>591.4999999999964</v>
      </c>
      <c r="I106" s="113">
        <f t="shared" si="16"/>
        <v>1719.4999999999982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517550.7920600002</v>
      </c>
      <c r="C107" s="64">
        <f>SUM(C108:C151)-C115-C120+C152-C142-C143-C109-C112-C123-C124-C140-C133-C131-C138-C118</f>
        <v>578004.4999999999</v>
      </c>
      <c r="D107" s="64">
        <f>SUM(D108:D151)-D115-D120+D152-D142-D143-D109-D112-D123-D124-D140-D133-D131-D138-D118</f>
        <v>424845.4</v>
      </c>
      <c r="E107" s="65">
        <f>D107/D154*100</f>
        <v>25.413754885403865</v>
      </c>
      <c r="F107" s="65">
        <f>D107/B107*100</f>
        <v>82.08767265315039</v>
      </c>
      <c r="G107" s="65">
        <f t="shared" si="14"/>
        <v>73.50209211173964</v>
      </c>
      <c r="H107" s="64">
        <f t="shared" si="15"/>
        <v>92705.39206000016</v>
      </c>
      <c r="I107" s="64">
        <f t="shared" si="16"/>
        <v>153159.09999999986</v>
      </c>
      <c r="J107" s="145"/>
      <c r="K107" s="154"/>
      <c r="L107" s="86"/>
    </row>
    <row r="108" spans="1:12" s="152" customFormat="1" ht="34.5">
      <c r="A108" s="87" t="s">
        <v>52</v>
      </c>
      <c r="B108" s="142">
        <f>3293.6+593</f>
        <v>3886.6</v>
      </c>
      <c r="C108" s="139">
        <v>4459</v>
      </c>
      <c r="D108" s="88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+2.6+52.4+3.3+149+5.4</f>
        <v>2311.7</v>
      </c>
      <c r="E108" s="89">
        <f>D108/D107*100</f>
        <v>0.5441273460887184</v>
      </c>
      <c r="F108" s="89">
        <f t="shared" si="17"/>
        <v>59.47872176195131</v>
      </c>
      <c r="G108" s="89">
        <f t="shared" si="14"/>
        <v>51.84346265978918</v>
      </c>
      <c r="H108" s="90">
        <f t="shared" si="15"/>
        <v>1574.9</v>
      </c>
      <c r="I108" s="90">
        <f t="shared" si="16"/>
        <v>2147.3</v>
      </c>
      <c r="K108" s="154"/>
      <c r="L108" s="91"/>
    </row>
    <row r="109" spans="1:12" s="152" customFormat="1" ht="17.25">
      <c r="A109" s="92" t="s">
        <v>25</v>
      </c>
      <c r="B109" s="93">
        <f>1460.7+267.1</f>
        <v>1727.8000000000002</v>
      </c>
      <c r="C109" s="94">
        <v>1995</v>
      </c>
      <c r="D109" s="95">
        <f>47.8+0.9+59.7+88.3+0.1+59.2+38.8+107.4+24+91.1+38+42.5+2+31.4+47.6+36.5-21.6+46.3+2.4+36.1+37.9</f>
        <v>816.4</v>
      </c>
      <c r="E109" s="96">
        <f>D109/D108*100</f>
        <v>35.31600121122983</v>
      </c>
      <c r="F109" s="96">
        <f t="shared" si="17"/>
        <v>47.25083921750202</v>
      </c>
      <c r="G109" s="96">
        <f t="shared" si="14"/>
        <v>40.92230576441103</v>
      </c>
      <c r="H109" s="94">
        <f aca="true" t="shared" si="18" ref="H109:H152">B109-D109</f>
        <v>911.4000000000002</v>
      </c>
      <c r="I109" s="94">
        <f t="shared" si="16"/>
        <v>1178.6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>
      <c r="A111" s="97" t="s">
        <v>93</v>
      </c>
      <c r="B111" s="143">
        <f>170.3+14.9</f>
        <v>185.20000000000002</v>
      </c>
      <c r="C111" s="98">
        <v>200</v>
      </c>
      <c r="D111" s="99"/>
      <c r="E111" s="89">
        <f>D111/D107*100</f>
        <v>0</v>
      </c>
      <c r="F111" s="89">
        <f t="shared" si="17"/>
        <v>0</v>
      </c>
      <c r="G111" s="89">
        <f t="shared" si="14"/>
        <v>0</v>
      </c>
      <c r="H111" s="90">
        <f t="shared" si="18"/>
        <v>185.20000000000002</v>
      </c>
      <c r="I111" s="90">
        <f t="shared" si="16"/>
        <v>200</v>
      </c>
      <c r="K111" s="154"/>
      <c r="L111" s="91"/>
    </row>
    <row r="112" spans="1:12" s="152" customFormat="1" ht="17.25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7.25">
      <c r="A113" s="97" t="s">
        <v>89</v>
      </c>
      <c r="B113" s="143">
        <v>64.296</v>
      </c>
      <c r="C113" s="90">
        <v>64.3</v>
      </c>
      <c r="D113" s="88">
        <f>6.8+7+3.6</f>
        <v>17.400000000000002</v>
      </c>
      <c r="E113" s="89">
        <f>D113/D107*100</f>
        <v>0.004095607484510837</v>
      </c>
      <c r="F113" s="89">
        <f t="shared" si="17"/>
        <v>27.062336692795817</v>
      </c>
      <c r="G113" s="89">
        <f t="shared" si="14"/>
        <v>27.06065318818041</v>
      </c>
      <c r="H113" s="90">
        <f t="shared" si="18"/>
        <v>46.896</v>
      </c>
      <c r="I113" s="90">
        <f t="shared" si="16"/>
        <v>46.89999999999999</v>
      </c>
      <c r="K113" s="154"/>
      <c r="L113" s="91"/>
    </row>
    <row r="114" spans="1:12" s="152" customFormat="1" ht="34.5">
      <c r="A114" s="97" t="s">
        <v>38</v>
      </c>
      <c r="B114" s="143">
        <f>2758.7+278.3</f>
        <v>3037</v>
      </c>
      <c r="C114" s="90">
        <v>3311.5</v>
      </c>
      <c r="D114" s="88">
        <f>136.4+10+40+6.6+6.1+0.2+177.4+10+1.8+25.1+29.4+48.1+8.1+193.1+10+0.1+17.8+8.8+132.4+79.7+12.6+4.3+3.5+212.4+8.1+0.4+10.8+218.3+5.3+16.4+166.6+54.3+12.8+52.1+1.1+0.2+214.8+15.7+3.7+4.8+133.9+54.7+10.7+6.3+7.4+1.2+219.4+17.7</f>
        <v>2410.5999999999995</v>
      </c>
      <c r="E114" s="89">
        <f>D114/D107*100</f>
        <v>0.567406402423093</v>
      </c>
      <c r="F114" s="89">
        <f t="shared" si="17"/>
        <v>79.37438261442212</v>
      </c>
      <c r="G114" s="89">
        <f t="shared" si="14"/>
        <v>72.7948059791635</v>
      </c>
      <c r="H114" s="90">
        <f t="shared" si="18"/>
        <v>626.4000000000005</v>
      </c>
      <c r="I114" s="90">
        <f t="shared" si="16"/>
        <v>900.9000000000005</v>
      </c>
      <c r="K114" s="154"/>
      <c r="L114" s="91"/>
    </row>
    <row r="115" spans="1:12" s="152" customFormat="1" ht="17.2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4.5">
      <c r="A117" s="97" t="s">
        <v>47</v>
      </c>
      <c r="B117" s="143">
        <f>200-130</f>
        <v>70</v>
      </c>
      <c r="C117" s="90">
        <f>200-130</f>
        <v>70</v>
      </c>
      <c r="D117" s="88">
        <f>15+40+1.2+1.8+2.6+2.4</f>
        <v>63</v>
      </c>
      <c r="E117" s="89">
        <f>D117/D107*100</f>
        <v>0.014828923650815094</v>
      </c>
      <c r="F117" s="89">
        <f>D117/B117*100</f>
        <v>90</v>
      </c>
      <c r="G117" s="89">
        <f t="shared" si="14"/>
        <v>90</v>
      </c>
      <c r="H117" s="90">
        <f t="shared" si="18"/>
        <v>7</v>
      </c>
      <c r="I117" s="90">
        <f t="shared" si="16"/>
        <v>7</v>
      </c>
      <c r="K117" s="154"/>
      <c r="L117" s="91"/>
    </row>
    <row r="118" spans="1:12" s="152" customFormat="1" ht="17.25">
      <c r="A118" s="100" t="s">
        <v>88</v>
      </c>
      <c r="B118" s="150">
        <v>40</v>
      </c>
      <c r="C118" s="151">
        <v>40</v>
      </c>
      <c r="D118" s="95">
        <v>40</v>
      </c>
      <c r="E118" s="96">
        <f>D118/D117*100</f>
        <v>63.49206349206349</v>
      </c>
      <c r="F118" s="96">
        <f>D118/B118*100</f>
        <v>100</v>
      </c>
      <c r="G118" s="96">
        <f>D118/C118*100</f>
        <v>100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7.25">
      <c r="A119" s="97" t="s">
        <v>15</v>
      </c>
      <c r="B119" s="143">
        <f>388.3+52.7</f>
        <v>441</v>
      </c>
      <c r="C119" s="98">
        <v>491.6</v>
      </c>
      <c r="D119" s="88">
        <f>45.4+9.9+47+6.4+0.4+0.4+45.4+0.4+2.9+45.4+4+6.8+0.4+45.4+0.1+5.8+0.8+0.4+0.8+0.7+13+0.4+5+0.3+0.8+45.4+5+1.1+45.4</f>
        <v>385.20000000000005</v>
      </c>
      <c r="E119" s="89">
        <f>D119/D107*100</f>
        <v>0.09066827603641231</v>
      </c>
      <c r="F119" s="89">
        <f t="shared" si="17"/>
        <v>87.34693877551022</v>
      </c>
      <c r="G119" s="89">
        <f t="shared" si="14"/>
        <v>78.35638730675346</v>
      </c>
      <c r="H119" s="90">
        <f t="shared" si="18"/>
        <v>55.799999999999955</v>
      </c>
      <c r="I119" s="90">
        <f t="shared" si="16"/>
        <v>106.39999999999998</v>
      </c>
      <c r="K119" s="154"/>
      <c r="L119" s="91"/>
    </row>
    <row r="120" spans="1:12" s="103" customFormat="1" ht="17.25">
      <c r="A120" s="100" t="s">
        <v>43</v>
      </c>
      <c r="B120" s="93">
        <f>317.9+45.4</f>
        <v>363.29999999999995</v>
      </c>
      <c r="C120" s="94">
        <v>408.8</v>
      </c>
      <c r="D120" s="95">
        <f>45.4+45.4+45.4+45.4+45.4+0.1+45.4+45.4</f>
        <v>317.9</v>
      </c>
      <c r="E120" s="96">
        <f>D120/D119*100</f>
        <v>82.52855659397714</v>
      </c>
      <c r="F120" s="96">
        <f t="shared" si="17"/>
        <v>87.50344068263144</v>
      </c>
      <c r="G120" s="96">
        <f t="shared" si="14"/>
        <v>77.76418786692759</v>
      </c>
      <c r="H120" s="94">
        <f t="shared" si="18"/>
        <v>45.39999999999998</v>
      </c>
      <c r="I120" s="94">
        <f t="shared" si="16"/>
        <v>90.90000000000003</v>
      </c>
      <c r="K120" s="154"/>
      <c r="L120" s="91"/>
    </row>
    <row r="121" spans="1:12" s="102" customFormat="1" ht="17.25">
      <c r="A121" s="97" t="s">
        <v>105</v>
      </c>
      <c r="B121" s="143">
        <f>275+22</f>
        <v>297</v>
      </c>
      <c r="C121" s="98">
        <v>317</v>
      </c>
      <c r="D121" s="88">
        <f>3.6+3</f>
        <v>6.6</v>
      </c>
      <c r="E121" s="89">
        <f>D121/D107*100</f>
        <v>0.001553506287228248</v>
      </c>
      <c r="F121" s="89">
        <f t="shared" si="17"/>
        <v>2.222222222222222</v>
      </c>
      <c r="G121" s="89">
        <f t="shared" si="14"/>
        <v>2.082018927444795</v>
      </c>
      <c r="H121" s="90">
        <f t="shared" si="18"/>
        <v>290.4</v>
      </c>
      <c r="I121" s="90">
        <f t="shared" si="16"/>
        <v>310.4</v>
      </c>
      <c r="K121" s="154"/>
      <c r="L121" s="91"/>
    </row>
    <row r="122" spans="1:12" s="102" customFormat="1" ht="21.75" customHeight="1">
      <c r="A122" s="97" t="s">
        <v>94</v>
      </c>
      <c r="B122" s="143">
        <f>559.999-88.1+88.1</f>
        <v>559.999</v>
      </c>
      <c r="C122" s="98">
        <f>480+80</f>
        <v>560</v>
      </c>
      <c r="D122" s="99">
        <f>12+360.2+19.8+20.5+40.3+18.3+0.8</f>
        <v>471.90000000000003</v>
      </c>
      <c r="E122" s="101">
        <f>D122/D107*100</f>
        <v>0.11107569953681974</v>
      </c>
      <c r="F122" s="89">
        <f t="shared" si="17"/>
        <v>84.26800762144218</v>
      </c>
      <c r="G122" s="89">
        <f t="shared" si="14"/>
        <v>84.26785714285715</v>
      </c>
      <c r="H122" s="90">
        <f t="shared" si="18"/>
        <v>88.09899999999999</v>
      </c>
      <c r="I122" s="90">
        <f t="shared" si="16"/>
        <v>88.09999999999997</v>
      </c>
      <c r="J122" s="145"/>
      <c r="K122" s="154">
        <f>H108+H111+H113+H114+H117+H119+H121+H126+H127+H128+H130+H132+H136+H137+H139+H69</f>
        <v>5416.459000000002</v>
      </c>
      <c r="L122" s="91"/>
    </row>
    <row r="123" spans="1:12" s="104" customFormat="1" ht="17.2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7.2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4.5">
      <c r="A125" s="97" t="s">
        <v>95</v>
      </c>
      <c r="B125" s="143">
        <f>40504.1+3053.2+1425.5+1000+1361.8+3945.8</f>
        <v>51290.4</v>
      </c>
      <c r="C125" s="98">
        <f>45511.3+17000</f>
        <v>62511.3</v>
      </c>
      <c r="D125" s="99">
        <f>3529.6+2264.3+1265.3+2996.5+533.1+738.7+2380.2+1722.3+1049.4+1874.1+1476.2+1455.5+94.4+1416+1268.6+1913.6+457.2+1108.2+2510.4+39.4+1337.2+1221+3120.4+2083.6+2630.6+1941.5+3537.3</f>
        <v>45964.600000000006</v>
      </c>
      <c r="E125" s="101">
        <f>D125/D107*100</f>
        <v>10.819135619686596</v>
      </c>
      <c r="F125" s="89">
        <f t="shared" si="17"/>
        <v>89.61638045326222</v>
      </c>
      <c r="G125" s="89">
        <f t="shared" si="14"/>
        <v>73.53006576410985</v>
      </c>
      <c r="H125" s="90">
        <f t="shared" si="18"/>
        <v>5325.799999999996</v>
      </c>
      <c r="I125" s="90">
        <f t="shared" si="16"/>
        <v>16546.699999999997</v>
      </c>
      <c r="K125" s="154"/>
      <c r="L125" s="91"/>
    </row>
    <row r="126" spans="1:12" s="102" customFormat="1" ht="17.25">
      <c r="A126" s="97" t="s">
        <v>91</v>
      </c>
      <c r="B126" s="143">
        <f>685+10</f>
        <v>695</v>
      </c>
      <c r="C126" s="98">
        <v>700</v>
      </c>
      <c r="D126" s="99">
        <f>9.6+1.5</f>
        <v>11.1</v>
      </c>
      <c r="E126" s="101">
        <f>D126/D107*100</f>
        <v>0.0026127151194293265</v>
      </c>
      <c r="F126" s="89">
        <f t="shared" si="17"/>
        <v>1.5971223021582732</v>
      </c>
      <c r="G126" s="89">
        <f t="shared" si="14"/>
        <v>1.5857142857142859</v>
      </c>
      <c r="H126" s="90">
        <f t="shared" si="18"/>
        <v>683.9</v>
      </c>
      <c r="I126" s="90">
        <f t="shared" si="16"/>
        <v>688.9</v>
      </c>
      <c r="K126" s="154"/>
      <c r="L126" s="91"/>
    </row>
    <row r="127" spans="1:12" s="102" customFormat="1" ht="34.5">
      <c r="A127" s="97" t="s">
        <v>100</v>
      </c>
      <c r="B127" s="143">
        <f>200+250</f>
        <v>450</v>
      </c>
      <c r="C127" s="98">
        <f>200+250</f>
        <v>450</v>
      </c>
      <c r="D127" s="99">
        <f>63.1+15.9+49.6+42.2</f>
        <v>170.8</v>
      </c>
      <c r="E127" s="101">
        <f>D127/D107*100</f>
        <v>0.04020285967554315</v>
      </c>
      <c r="F127" s="89">
        <f t="shared" si="17"/>
        <v>37.955555555555556</v>
      </c>
      <c r="G127" s="89">
        <f t="shared" si="14"/>
        <v>37.955555555555556</v>
      </c>
      <c r="H127" s="90">
        <f t="shared" si="18"/>
        <v>279.2</v>
      </c>
      <c r="I127" s="90">
        <f t="shared" si="16"/>
        <v>279.2</v>
      </c>
      <c r="K127" s="154"/>
      <c r="L127" s="91"/>
    </row>
    <row r="128" spans="1:12" s="102" customFormat="1" ht="34.5">
      <c r="A128" s="97" t="s">
        <v>85</v>
      </c>
      <c r="B128" s="143">
        <v>111.1</v>
      </c>
      <c r="C128" s="98">
        <f>111.1</f>
        <v>111.1</v>
      </c>
      <c r="D128" s="99">
        <v>34.5</v>
      </c>
      <c r="E128" s="101">
        <f>D128/D107*100</f>
        <v>0.008120601046874933</v>
      </c>
      <c r="F128" s="89">
        <f t="shared" si="17"/>
        <v>31.053105310531055</v>
      </c>
      <c r="G128" s="89">
        <f t="shared" si="14"/>
        <v>31.053105310531055</v>
      </c>
      <c r="H128" s="90">
        <f t="shared" si="18"/>
        <v>76.6</v>
      </c>
      <c r="I128" s="90">
        <f t="shared" si="16"/>
        <v>76.6</v>
      </c>
      <c r="K128" s="154"/>
      <c r="L128" s="91"/>
    </row>
    <row r="129" spans="1:12" s="102" customFormat="1" ht="17.25" hidden="1">
      <c r="A129" s="100" t="s">
        <v>83</v>
      </c>
      <c r="B129" s="141"/>
      <c r="C129" s="98"/>
      <c r="D129" s="99"/>
      <c r="E129" s="101">
        <f>D129/D108*100</f>
        <v>0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2" s="102" customFormat="1" ht="34.5">
      <c r="A130" s="97" t="s">
        <v>57</v>
      </c>
      <c r="B130" s="143">
        <f>879.4+25.3</f>
        <v>904.6999999999999</v>
      </c>
      <c r="C130" s="98">
        <v>942</v>
      </c>
      <c r="D130" s="99">
        <f>7+4.2+0.1+12.3+0.2+7.1+17.8+14.9+1.7+0.1+7.4+7+2.7+3.7+7.1+5.3+31.3+16.4+2.5+1.7+26.7+0.1+13.8+0.1+2.9+6.5+0.6+7+4.8+0.1+17.3+0.5+7.6+29.1+0.2+0.1+7.4+1+0.1+0.2+0.1+0.4+7.4+2.8+0.8+6.9+26.7+15.1+8.8+14.7+0.1+0.2+9.7+46+7.9+0.3</f>
        <v>424.5</v>
      </c>
      <c r="E130" s="101">
        <f>D130/D107*100</f>
        <v>0.09991869983763506</v>
      </c>
      <c r="F130" s="89">
        <f t="shared" si="17"/>
        <v>46.92163148004864</v>
      </c>
      <c r="G130" s="89">
        <f t="shared" si="14"/>
        <v>45.06369426751593</v>
      </c>
      <c r="H130" s="90">
        <f t="shared" si="18"/>
        <v>480.19999999999993</v>
      </c>
      <c r="I130" s="90">
        <f t="shared" si="16"/>
        <v>517.5</v>
      </c>
      <c r="K130" s="154"/>
      <c r="L130" s="91"/>
    </row>
    <row r="131" spans="1:12" s="103" customFormat="1" ht="17.25">
      <c r="A131" s="92" t="s">
        <v>88</v>
      </c>
      <c r="B131" s="93">
        <f>485.7+11</f>
        <v>496.7</v>
      </c>
      <c r="C131" s="94">
        <v>510.8</v>
      </c>
      <c r="D131" s="95">
        <f>7+7.1+7+7.1+7+7+7.4+7.4+7.4+46+7.3</f>
        <v>117.7</v>
      </c>
      <c r="E131" s="96">
        <f>D131/D130*100</f>
        <v>27.72673733804476</v>
      </c>
      <c r="F131" s="96">
        <f>D131/B131*100</f>
        <v>23.696396215019128</v>
      </c>
      <c r="G131" s="96">
        <f t="shared" si="14"/>
        <v>23.042286609240406</v>
      </c>
      <c r="H131" s="94">
        <f t="shared" si="18"/>
        <v>379</v>
      </c>
      <c r="I131" s="94">
        <f t="shared" si="16"/>
        <v>393.1</v>
      </c>
      <c r="K131" s="154"/>
      <c r="L131" s="91"/>
    </row>
    <row r="132" spans="1:12" s="102" customFormat="1" ht="34.5">
      <c r="A132" s="97" t="s">
        <v>103</v>
      </c>
      <c r="B132" s="143">
        <f>395+45</f>
        <v>440</v>
      </c>
      <c r="C132" s="98">
        <v>485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440</v>
      </c>
      <c r="I132" s="90">
        <f t="shared" si="16"/>
        <v>485</v>
      </c>
      <c r="K132" s="154"/>
      <c r="L132" s="91">
        <f>H140+H109</f>
        <v>1009.3000000000002</v>
      </c>
    </row>
    <row r="133" spans="1:12" s="103" customFormat="1" ht="17.2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f>315+35</f>
        <v>350</v>
      </c>
      <c r="C136" s="98">
        <f>383.2+1100</f>
        <v>1483.2</v>
      </c>
      <c r="D136" s="99">
        <f>2.9+1.5+9.7+8.2+0.2-0.4+16+13.6+102.3+20.9+65+5.6</f>
        <v>245.5</v>
      </c>
      <c r="E136" s="101">
        <f>D136/D107*100</f>
        <v>0.057785726290081045</v>
      </c>
      <c r="F136" s="89">
        <f t="shared" si="17"/>
        <v>70.14285714285714</v>
      </c>
      <c r="G136" s="89">
        <f t="shared" si="14"/>
        <v>16.552049622437973</v>
      </c>
      <c r="H136" s="90">
        <f t="shared" si="18"/>
        <v>104.5</v>
      </c>
      <c r="I136" s="90">
        <f t="shared" si="16"/>
        <v>1237.7</v>
      </c>
      <c r="K136" s="154"/>
      <c r="L136" s="91"/>
    </row>
    <row r="137" spans="1:12" s="102" customFormat="1" ht="39" customHeight="1">
      <c r="A137" s="97" t="s">
        <v>54</v>
      </c>
      <c r="B137" s="143">
        <f>280+40</f>
        <v>320</v>
      </c>
      <c r="C137" s="98">
        <v>350</v>
      </c>
      <c r="D137" s="99">
        <f>3.7+1.9+30+0.6+12.1+11.2+3.6+6+7.1</f>
        <v>76.19999999999999</v>
      </c>
      <c r="E137" s="101">
        <f>D137/D107*100</f>
        <v>0.01793593622527159</v>
      </c>
      <c r="F137" s="89">
        <f t="shared" si="17"/>
        <v>23.812499999999996</v>
      </c>
      <c r="G137" s="89">
        <f t="shared" si="14"/>
        <v>21.77142857142857</v>
      </c>
      <c r="H137" s="90">
        <f t="shared" si="18"/>
        <v>243.8</v>
      </c>
      <c r="I137" s="90">
        <f t="shared" si="16"/>
        <v>273.8</v>
      </c>
      <c r="K137" s="154"/>
      <c r="L137" s="91"/>
    </row>
    <row r="138" spans="1:12" s="103" customFormat="1" ht="17.25">
      <c r="A138" s="92" t="s">
        <v>88</v>
      </c>
      <c r="B138" s="93">
        <f>86+12</f>
        <v>98</v>
      </c>
      <c r="C138" s="94">
        <v>110</v>
      </c>
      <c r="D138" s="95">
        <f>3.7+1.9+12.1+11.1+3.6+6+7.1</f>
        <v>45.5</v>
      </c>
      <c r="E138" s="96"/>
      <c r="F138" s="89">
        <f>D138/B138*100</f>
        <v>46.42857142857143</v>
      </c>
      <c r="G138" s="96">
        <f>D138/C138*100</f>
        <v>41.36363636363637</v>
      </c>
      <c r="H138" s="94">
        <f>B138-D138</f>
        <v>52.5</v>
      </c>
      <c r="I138" s="94">
        <f>C138-D138</f>
        <v>64.5</v>
      </c>
      <c r="K138" s="154"/>
      <c r="L138" s="91"/>
    </row>
    <row r="139" spans="1:12" s="102" customFormat="1" ht="32.25" customHeight="1">
      <c r="A139" s="97" t="s">
        <v>84</v>
      </c>
      <c r="B139" s="143">
        <f>501.5+55.5</f>
        <v>557</v>
      </c>
      <c r="C139" s="98">
        <v>607.7</v>
      </c>
      <c r="D139" s="99">
        <f>76+0.3+41+44+1.8+16.3+2.4+30+0.6+0.2+27.4+0.2+4.5-0.2+31.4+4.5+7.9+26.6+4.5+0.5+26.6+0.3+4.3+1.1+0.3+24+0.5+4.2+38.1+0.8+4.8+0.8</f>
        <v>425.70000000000016</v>
      </c>
      <c r="E139" s="101">
        <f>D139/D107*100</f>
        <v>0.10020115552622205</v>
      </c>
      <c r="F139" s="89">
        <f>D139/B139*100</f>
        <v>76.427289048474</v>
      </c>
      <c r="G139" s="89">
        <f>D139/C139*100</f>
        <v>70.05101201250619</v>
      </c>
      <c r="H139" s="90">
        <f t="shared" si="18"/>
        <v>131.29999999999984</v>
      </c>
      <c r="I139" s="90">
        <f t="shared" si="16"/>
        <v>181.9999999999999</v>
      </c>
      <c r="K139" s="154"/>
      <c r="L139" s="91"/>
    </row>
    <row r="140" spans="1:12" s="103" customFormat="1" ht="17.25">
      <c r="A140" s="92" t="s">
        <v>25</v>
      </c>
      <c r="B140" s="93">
        <f>402+46.1</f>
        <v>448.1</v>
      </c>
      <c r="C140" s="94">
        <v>489.6</v>
      </c>
      <c r="D140" s="95">
        <f>76+37.6+44+1.2+0.7+30+27.4+30.6+0.6+26+0.5+26+0.3+24+24+0.5+0.8</f>
        <v>350.2</v>
      </c>
      <c r="E140" s="96">
        <f>D140/D139*100</f>
        <v>82.26450552031945</v>
      </c>
      <c r="F140" s="96">
        <f t="shared" si="17"/>
        <v>78.15219817005132</v>
      </c>
      <c r="G140" s="96">
        <f>D140/C140*100</f>
        <v>71.52777777777777</v>
      </c>
      <c r="H140" s="94">
        <f t="shared" si="18"/>
        <v>97.90000000000003</v>
      </c>
      <c r="I140" s="94">
        <f t="shared" si="16"/>
        <v>139.40000000000003</v>
      </c>
      <c r="K140" s="154"/>
      <c r="L140" s="91"/>
    </row>
    <row r="141" spans="1:12" s="102" customFormat="1" ht="17.25">
      <c r="A141" s="97" t="s">
        <v>96</v>
      </c>
      <c r="B141" s="143">
        <f>1505.2+128.9</f>
        <v>1634.1000000000001</v>
      </c>
      <c r="C141" s="98">
        <v>1760</v>
      </c>
      <c r="D141" s="99">
        <f>107.3+0.4+30.4+78.2+4.1+36.9+117.9+50.5+112.6+5.2+52.3+10.5+76.8-0.2+10.4+82.9+84+50.5+35.7+3.4+90.4+1.3+74.9+86.3+10.5+56.2+19.4+57.2+47.6+4.6+22+60.6+12.7</f>
        <v>1493.5</v>
      </c>
      <c r="E141" s="101">
        <f>D141/D107*100</f>
        <v>0.35153964242051344</v>
      </c>
      <c r="F141" s="89">
        <f t="shared" si="17"/>
        <v>91.39587540542193</v>
      </c>
      <c r="G141" s="89">
        <f t="shared" si="14"/>
        <v>84.85795454545455</v>
      </c>
      <c r="H141" s="90">
        <f t="shared" si="18"/>
        <v>140.60000000000014</v>
      </c>
      <c r="I141" s="90">
        <f t="shared" si="16"/>
        <v>266.5</v>
      </c>
      <c r="J141" s="145"/>
      <c r="K141" s="154"/>
      <c r="L141" s="91"/>
    </row>
    <row r="142" spans="1:12" s="103" customFormat="1" ht="17.25">
      <c r="A142" s="100" t="s">
        <v>43</v>
      </c>
      <c r="B142" s="93">
        <f>1218.7+109.6</f>
        <v>1328.3</v>
      </c>
      <c r="C142" s="94">
        <v>1437.4</v>
      </c>
      <c r="D142" s="95">
        <f>107.3+25.4+76+34+76.6+47.2+83.8+4.5+35.4+76.8-0.2+60.7+81+50.4+90.4+52.9+85+10.5+37.7+14.2+56.6+47.6+60.4+11.7</f>
        <v>1225.8999999999999</v>
      </c>
      <c r="E142" s="96">
        <f>D142/D141*100</f>
        <v>82.08235687981251</v>
      </c>
      <c r="F142" s="96">
        <f aca="true" t="shared" si="19" ref="F142:F151">D142/B142*100</f>
        <v>92.29089814048031</v>
      </c>
      <c r="G142" s="96">
        <f t="shared" si="14"/>
        <v>85.285932934465</v>
      </c>
      <c r="H142" s="94">
        <f t="shared" si="18"/>
        <v>102.40000000000009</v>
      </c>
      <c r="I142" s="94">
        <f t="shared" si="16"/>
        <v>211.50000000000023</v>
      </c>
      <c r="J142" s="146"/>
      <c r="K142" s="154"/>
      <c r="L142" s="91">
        <f>B108+B111+B114+B117+B119+B126+B127+B128+B130+B136+B71+B132+B137+B121+B113+B139+B70</f>
        <v>12226.259</v>
      </c>
    </row>
    <row r="143" spans="1:13" s="103" customFormat="1" ht="17.25">
      <c r="A143" s="92" t="s">
        <v>25</v>
      </c>
      <c r="B143" s="93">
        <f>31.3+3.8</f>
        <v>35.1</v>
      </c>
      <c r="C143" s="94">
        <v>40</v>
      </c>
      <c r="D143" s="95">
        <f>0.4+4.9+0.7+4.7+3.3+0.4+0.7+0.6+0.1+0.1+3.9+1</f>
        <v>20.799999999999997</v>
      </c>
      <c r="E143" s="96">
        <f>D143/D141*100</f>
        <v>1.3927017073987276</v>
      </c>
      <c r="F143" s="96">
        <f t="shared" si="19"/>
        <v>59.259259259259245</v>
      </c>
      <c r="G143" s="96">
        <f>D143/C143*100</f>
        <v>51.99999999999999</v>
      </c>
      <c r="H143" s="94">
        <f t="shared" si="18"/>
        <v>14.300000000000004</v>
      </c>
      <c r="I143" s="94">
        <f t="shared" si="16"/>
        <v>19.200000000000003</v>
      </c>
      <c r="J143" s="146"/>
      <c r="K143" s="154"/>
      <c r="L143" s="91"/>
      <c r="M143" s="135"/>
    </row>
    <row r="144" spans="1:12" s="102" customFormat="1" ht="33.75" customHeight="1">
      <c r="A144" s="105" t="s">
        <v>56</v>
      </c>
      <c r="B144" s="143">
        <f>90+7.5+527</f>
        <v>624.5</v>
      </c>
      <c r="C144" s="98">
        <f>90+534.5</f>
        <v>624.5</v>
      </c>
      <c r="D144" s="99">
        <f>7.5+527</f>
        <v>534.5</v>
      </c>
      <c r="E144" s="101">
        <f>D144/D107*100</f>
        <v>0.12581047129143919</v>
      </c>
      <c r="F144" s="89">
        <f t="shared" si="19"/>
        <v>85.58847077662129</v>
      </c>
      <c r="G144" s="89">
        <f t="shared" si="14"/>
        <v>85.58847077662129</v>
      </c>
      <c r="H144" s="90">
        <f t="shared" si="18"/>
        <v>90</v>
      </c>
      <c r="I144" s="90">
        <f t="shared" si="16"/>
        <v>90</v>
      </c>
      <c r="J144" s="145"/>
      <c r="K144" s="154"/>
      <c r="L144" s="91"/>
    </row>
    <row r="145" spans="1:12" s="102" customFormat="1" ht="17.2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7.25">
      <c r="A146" s="105" t="s">
        <v>97</v>
      </c>
      <c r="B146" s="143">
        <f>63378.3+215.3+2857.1+1855.9+14000+1552.3</f>
        <v>83858.90000000001</v>
      </c>
      <c r="C146" s="98">
        <f>56447.1-100+1500-3000+10865.4+0.1+56196.1</f>
        <v>121908.70000000001</v>
      </c>
      <c r="D146" s="99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+449.8+362.8+66.1+2626.6+3227.5+978.5+1505.4</f>
        <v>68087.90000000001</v>
      </c>
      <c r="E146" s="101">
        <f>D146/D107*100</f>
        <v>16.026512232449736</v>
      </c>
      <c r="F146" s="89">
        <f t="shared" si="19"/>
        <v>81.19340940556101</v>
      </c>
      <c r="G146" s="89">
        <f t="shared" si="14"/>
        <v>55.85155120184203</v>
      </c>
      <c r="H146" s="90">
        <f t="shared" si="18"/>
        <v>15771</v>
      </c>
      <c r="I146" s="90">
        <f t="shared" si="16"/>
        <v>53820.8</v>
      </c>
      <c r="J146" s="145"/>
      <c r="K146" s="154"/>
      <c r="L146" s="91"/>
    </row>
    <row r="147" spans="1:12" s="102" customFormat="1" ht="17.2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4.5" hidden="1">
      <c r="A148" s="105" t="s">
        <v>104</v>
      </c>
      <c r="B148" s="141"/>
      <c r="C148" s="98"/>
      <c r="D148" s="99"/>
      <c r="E148" s="101">
        <f>D148/D109*100</f>
        <v>0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7.25">
      <c r="A149" s="97" t="s">
        <v>98</v>
      </c>
      <c r="B149" s="143">
        <v>128.19706</v>
      </c>
      <c r="C149" s="98">
        <v>162.3</v>
      </c>
      <c r="D149" s="99">
        <f>46.4+43+38.8</f>
        <v>128.2</v>
      </c>
      <c r="E149" s="101">
        <f>D149/D107*100</f>
        <v>0.030175682730706272</v>
      </c>
      <c r="F149" s="89">
        <f t="shared" si="19"/>
        <v>100.00229334432473</v>
      </c>
      <c r="G149" s="89">
        <f t="shared" si="14"/>
        <v>78.98952556993221</v>
      </c>
      <c r="H149" s="90">
        <f t="shared" si="18"/>
        <v>-0.0029399999999952797</v>
      </c>
      <c r="I149" s="90">
        <f t="shared" si="16"/>
        <v>34.10000000000002</v>
      </c>
      <c r="J149" s="145"/>
      <c r="K149" s="154"/>
      <c r="L149" s="91"/>
    </row>
    <row r="150" spans="1:12" s="102" customFormat="1" ht="18" customHeight="1">
      <c r="A150" s="97" t="s">
        <v>77</v>
      </c>
      <c r="B150" s="143">
        <f>10277.3-1020+342.4+1993.7</f>
        <v>11593.4</v>
      </c>
      <c r="C150" s="98">
        <v>11593.4</v>
      </c>
      <c r="D150" s="99">
        <f>791.9+575.3+777.6+830.9+722.1+47.7+657.7+821-47.6+744.9+750.8+1599.5+613.3+67.8</f>
        <v>8952.899999999998</v>
      </c>
      <c r="E150" s="101">
        <f>D150/D107*100</f>
        <v>2.107331278625118</v>
      </c>
      <c r="F150" s="89">
        <f t="shared" si="19"/>
        <v>77.22411026963616</v>
      </c>
      <c r="G150" s="89">
        <f t="shared" si="14"/>
        <v>77.22411026963616</v>
      </c>
      <c r="H150" s="90">
        <f t="shared" si="18"/>
        <v>2640.500000000002</v>
      </c>
      <c r="I150" s="90">
        <f t="shared" si="16"/>
        <v>2640.500000000002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f>289360.2-1612.3-1000-1425.5-646.6-194.6+6232.7+2434+27883.6-1642.3-2049.5</f>
        <v>317339.70000000007</v>
      </c>
      <c r="C151" s="98">
        <v>322609.9</v>
      </c>
      <c r="D151" s="9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+253.8+2943.4+778.2+4071.9+1419.6+1550+441.7+9172.7+1220.7+368.7+2207.6+366.9+9784.3+4291.7+2988.5</f>
        <v>257435.7000000001</v>
      </c>
      <c r="E151" s="101">
        <f>D151/D107*100</f>
        <v>60.59514825863717</v>
      </c>
      <c r="F151" s="89">
        <f t="shared" si="19"/>
        <v>81.1230678039968</v>
      </c>
      <c r="G151" s="89">
        <f t="shared" si="14"/>
        <v>79.7978301347851</v>
      </c>
      <c r="H151" s="90">
        <f t="shared" si="18"/>
        <v>59903.99999999997</v>
      </c>
      <c r="I151" s="90">
        <f>C151-D151</f>
        <v>65174.199999999924</v>
      </c>
      <c r="K151" s="154"/>
      <c r="L151" s="91"/>
    </row>
    <row r="152" spans="1:12" s="102" customFormat="1" ht="17.25">
      <c r="A152" s="97" t="s">
        <v>99</v>
      </c>
      <c r="B152" s="143">
        <f>35193.4+3519.3</f>
        <v>38712.700000000004</v>
      </c>
      <c r="C152" s="98">
        <v>42232</v>
      </c>
      <c r="D152" s="99">
        <f>819+819+819.1+1062.3+1173.1+1173.1+1173.2+1173.1+1173.1+1173.2+1173.1+1173.1+1173.2+1173.1+1173.1+1173.1+1173.1+1173.1+1173.1+1173.1+1173.1+1173.1+1173.1+1173.1+1173.1+1173.1+1173.1+1173.1+1173.1+1173.1+1173.1</f>
        <v>35193.39999999998</v>
      </c>
      <c r="E152" s="101">
        <f>D152/D107*100</f>
        <v>8.283813358930091</v>
      </c>
      <c r="F152" s="89">
        <f t="shared" si="17"/>
        <v>90.90918484115026</v>
      </c>
      <c r="G152" s="89">
        <f t="shared" si="14"/>
        <v>83.3334911915135</v>
      </c>
      <c r="H152" s="90">
        <f t="shared" si="18"/>
        <v>3519.3000000000247</v>
      </c>
      <c r="I152" s="90">
        <f t="shared" si="16"/>
        <v>7038.60000000002</v>
      </c>
      <c r="K152" s="154"/>
      <c r="L152" s="91"/>
    </row>
    <row r="153" spans="1:12" s="2" customFormat="1" ht="18" thickBot="1">
      <c r="A153" s="26" t="s">
        <v>29</v>
      </c>
      <c r="B153" s="144"/>
      <c r="C153" s="60"/>
      <c r="D153" s="41">
        <f>D43+D69+D72+D77+D79+D87+D102+D107+D100+D84+D98</f>
        <v>435410.4</v>
      </c>
      <c r="E153" s="14"/>
      <c r="F153" s="14"/>
      <c r="G153" s="6"/>
      <c r="H153" s="49"/>
      <c r="I153" s="41"/>
      <c r="K153" s="154"/>
      <c r="L153" s="30"/>
    </row>
    <row r="154" spans="1:12" ht="18" thickBot="1">
      <c r="A154" s="11" t="s">
        <v>18</v>
      </c>
      <c r="B154" s="37">
        <f>B6+B18+B33+B43+B51+B59+B69+B72+B77+B79+B87+B90+B95+B102+B107+B100+B84+B98+B45</f>
        <v>1958089.65506</v>
      </c>
      <c r="C154" s="37">
        <f>C6+C18+C33+C43+C51+C59+C69+C72+C77+C79+C87+C90+C95+C102+C107+C100+C84+C98+C45</f>
        <v>2206819.5999999996</v>
      </c>
      <c r="D154" s="37">
        <f>D6+D18+D33+D43+D51+D59+D69+D72+D77+D79+D87+D90+D95+D102+D107+D100+D84+D98+D45</f>
        <v>1671714.4000000004</v>
      </c>
      <c r="E154" s="25">
        <v>100</v>
      </c>
      <c r="F154" s="3">
        <f>D154/B154*100</f>
        <v>85.37476288075152</v>
      </c>
      <c r="G154" s="3">
        <f aca="true" t="shared" si="20" ref="G154:G160">D154/C154*100</f>
        <v>75.75220013452847</v>
      </c>
      <c r="H154" s="37">
        <f aca="true" t="shared" si="21" ref="H154:H160">B154-D154</f>
        <v>286375.25505999965</v>
      </c>
      <c r="I154" s="37">
        <f aca="true" t="shared" si="22" ref="I154:I160">C154-D154</f>
        <v>535105.1999999993</v>
      </c>
      <c r="K154" s="136">
        <f>D154-751574.4-254427.6-132352.6+0.9-133656.1-0.2-161669.9</f>
        <v>238034.50000000044</v>
      </c>
      <c r="L154" s="158"/>
    </row>
    <row r="155" spans="1:12" ht="17.25">
      <c r="A155" s="15" t="s">
        <v>5</v>
      </c>
      <c r="B155" s="48">
        <f>B8+B20+B34+B52+B60+B91+B115+B120+B46+B142+B133+B103</f>
        <v>801285.2000000002</v>
      </c>
      <c r="C155" s="48">
        <f>C8+C20+C34+C52+C60+C91+C115+C120+C46+C142+C133+C103</f>
        <v>897180</v>
      </c>
      <c r="D155" s="48">
        <f>D8+D20+D34+D52+D60+D91+D115+D120+D46+D142+D133+D103</f>
        <v>736142.2100000002</v>
      </c>
      <c r="E155" s="6">
        <f>D155/D154*100</f>
        <v>44.0351659350425</v>
      </c>
      <c r="F155" s="6">
        <f aca="true" t="shared" si="23" ref="F155:F160">D155/B155*100</f>
        <v>91.87018679491398</v>
      </c>
      <c r="G155" s="6">
        <f t="shared" si="20"/>
        <v>82.05067099132842</v>
      </c>
      <c r="H155" s="49">
        <f t="shared" si="21"/>
        <v>65142.98999999999</v>
      </c>
      <c r="I155" s="59">
        <f t="shared" si="22"/>
        <v>161037.7899999998</v>
      </c>
      <c r="K155" s="154"/>
      <c r="L155" s="158"/>
    </row>
    <row r="156" spans="1:12" ht="17.25">
      <c r="A156" s="15" t="s">
        <v>0</v>
      </c>
      <c r="B156" s="49">
        <f>B11+B23+B36+B55+B62+B92+B49+B143+B109+B112+B96+B140+B129</f>
        <v>93344.20000000003</v>
      </c>
      <c r="C156" s="49">
        <f>C11+C23+C36+C55+C62+C92+C49+C143+C109+C112+C96+C140+C129</f>
        <v>110563.99999999999</v>
      </c>
      <c r="D156" s="49">
        <f>D11+D23+D36+D55+D62+D92+D49+D143+D109+D112+D96+D140+D129</f>
        <v>71849.00000000001</v>
      </c>
      <c r="E156" s="6">
        <f>D156/D154*100</f>
        <v>4.297923138067125</v>
      </c>
      <c r="F156" s="6">
        <f t="shared" si="23"/>
        <v>76.97210967580203</v>
      </c>
      <c r="G156" s="6">
        <f t="shared" si="20"/>
        <v>64.98408161788649</v>
      </c>
      <c r="H156" s="49">
        <f>B156-D156</f>
        <v>21495.20000000001</v>
      </c>
      <c r="I156" s="59">
        <f t="shared" si="22"/>
        <v>38714.99999999997</v>
      </c>
      <c r="K156" s="154"/>
      <c r="L156" s="159"/>
    </row>
    <row r="157" spans="1:12" ht="17.25">
      <c r="A157" s="15" t="s">
        <v>1</v>
      </c>
      <c r="B157" s="48">
        <f>B22+B10+B54+B48+B61+B35+B124</f>
        <v>37772.6</v>
      </c>
      <c r="C157" s="48">
        <f>C22+C10+C54+C48+C61+C35+C124</f>
        <v>42113.5</v>
      </c>
      <c r="D157" s="48">
        <f>D22+D10+D54+D48+D61+D35+D124</f>
        <v>29194.799999999996</v>
      </c>
      <c r="E157" s="6">
        <f>D157/D154*100</f>
        <v>1.746398786778411</v>
      </c>
      <c r="F157" s="6">
        <f t="shared" si="23"/>
        <v>77.2909463473523</v>
      </c>
      <c r="G157" s="6">
        <f t="shared" si="20"/>
        <v>69.32408847519203</v>
      </c>
      <c r="H157" s="49">
        <f t="shared" si="21"/>
        <v>8577.800000000003</v>
      </c>
      <c r="I157" s="59">
        <f t="shared" si="22"/>
        <v>12918.700000000004</v>
      </c>
      <c r="K157" s="154"/>
      <c r="L157" s="158"/>
    </row>
    <row r="158" spans="1:12" ht="21" customHeight="1">
      <c r="A158" s="15" t="s">
        <v>14</v>
      </c>
      <c r="B158" s="48">
        <f>B12+B24+B104+B63+B38+B93+B131+B56+B138+B118</f>
        <v>28245.2</v>
      </c>
      <c r="C158" s="48">
        <f>C12+C24+C104+C63+C38+C93+C131+C56+C138+C118</f>
        <v>30298.8</v>
      </c>
      <c r="D158" s="48">
        <f>D12+D24+D104+D63+D38+D93+D131+D56+D138+D118</f>
        <v>23150.799999999996</v>
      </c>
      <c r="E158" s="6">
        <f>D158/D154*100</f>
        <v>1.3848537764584663</v>
      </c>
      <c r="F158" s="6">
        <f t="shared" si="23"/>
        <v>81.96366108223697</v>
      </c>
      <c r="G158" s="6">
        <f t="shared" si="20"/>
        <v>76.40830659960129</v>
      </c>
      <c r="H158" s="49">
        <f>B158-D158</f>
        <v>5094.400000000005</v>
      </c>
      <c r="I158" s="59">
        <f t="shared" si="22"/>
        <v>7148.000000000004</v>
      </c>
      <c r="K158" s="154"/>
      <c r="L158" s="159"/>
    </row>
    <row r="159" spans="1:12" ht="17.25">
      <c r="A159" s="15" t="s">
        <v>2</v>
      </c>
      <c r="B159" s="48">
        <f>B9+B21+B47+B53+B123</f>
        <v>114.5</v>
      </c>
      <c r="C159" s="48">
        <f>C9+C21+C47+C53+C123</f>
        <v>114.48435</v>
      </c>
      <c r="D159" s="48">
        <f>D9+D21+D47+D53+D123</f>
        <v>44.400000000000006</v>
      </c>
      <c r="E159" s="6">
        <f>D159/D154*100</f>
        <v>0.002655956065222624</v>
      </c>
      <c r="F159" s="6">
        <f t="shared" si="23"/>
        <v>38.77729257641922</v>
      </c>
      <c r="G159" s="6">
        <f t="shared" si="20"/>
        <v>38.782593428708815</v>
      </c>
      <c r="H159" s="49">
        <f t="shared" si="21"/>
        <v>70.1</v>
      </c>
      <c r="I159" s="59">
        <f t="shared" si="22"/>
        <v>70.08435</v>
      </c>
      <c r="K159" s="154"/>
      <c r="L159" s="158"/>
    </row>
    <row r="160" spans="1:12" ht="18" thickBot="1">
      <c r="A160" s="81" t="s">
        <v>27</v>
      </c>
      <c r="B160" s="61">
        <f>B154-B155-B156-B157-B158-B159</f>
        <v>997327.95506</v>
      </c>
      <c r="C160" s="61">
        <f>C154-C155-C156-C157-C158-C159</f>
        <v>1126548.8156499995</v>
      </c>
      <c r="D160" s="61">
        <f>D154-D155-D156-D157-D158-D159</f>
        <v>811333.1900000001</v>
      </c>
      <c r="E160" s="28">
        <f>D160/D154*100</f>
        <v>48.53300240758828</v>
      </c>
      <c r="F160" s="28">
        <f t="shared" si="23"/>
        <v>81.35069170413354</v>
      </c>
      <c r="G160" s="28">
        <f t="shared" si="20"/>
        <v>72.0193549297617</v>
      </c>
      <c r="H160" s="82">
        <f t="shared" si="21"/>
        <v>185994.7650599999</v>
      </c>
      <c r="I160" s="82">
        <f t="shared" si="22"/>
        <v>315215.6256499995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7:11" ht="12.75"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2206819.5999999996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1671714.4000000004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2206819.5999999996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1671714.4000000004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2018-11-02T12:40:12Z</cp:lastPrinted>
  <dcterms:created xsi:type="dcterms:W3CDTF">2000-06-20T04:48:00Z</dcterms:created>
  <dcterms:modified xsi:type="dcterms:W3CDTF">2018-11-05T13:55:43Z</dcterms:modified>
  <cp:category/>
  <cp:version/>
  <cp:contentType/>
  <cp:contentStatus/>
</cp:coreProperties>
</file>